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12 - '24\A info o rynku pracy\"/>
    </mc:Choice>
  </mc:AlternateContent>
  <xr:revisionPtr revIDLastSave="0" documentId="13_ncr:1_{22CCF4CF-B60F-4198-90ED-8D967F2C08FD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14" l="1"/>
  <c r="X30" i="14"/>
  <c r="W5" i="14"/>
  <c r="W4" i="14"/>
  <c r="V24" i="14"/>
  <c r="V25" i="14"/>
  <c r="T4" i="28"/>
  <c r="X29" i="14" l="1"/>
  <c r="S29" i="28"/>
  <c r="W29" i="28" l="1"/>
  <c r="C28" i="3"/>
  <c r="D28" i="3"/>
  <c r="C28" i="5"/>
  <c r="H3" i="18"/>
  <c r="G3" i="18"/>
  <c r="F3" i="18"/>
  <c r="E3" i="18"/>
  <c r="D3" i="18"/>
  <c r="AF3" i="14" l="1"/>
  <c r="AB3" i="14"/>
  <c r="AC3" i="14"/>
  <c r="AG3" i="14"/>
  <c r="E29" i="28"/>
  <c r="D28" i="10"/>
  <c r="E27" i="3" l="1"/>
  <c r="D24" i="2"/>
  <c r="X28" i="28" l="1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0" i="28"/>
  <c r="E28" i="4" l="1"/>
  <c r="R29" i="28" l="1"/>
  <c r="M29" i="28"/>
  <c r="L29" i="28"/>
  <c r="I29" i="28"/>
  <c r="H29" i="28"/>
  <c r="D29" i="28"/>
  <c r="V29" i="28" l="1"/>
  <c r="X29" i="28" s="1"/>
  <c r="T28" i="28"/>
  <c r="N28" i="28"/>
  <c r="J28" i="28"/>
  <c r="F28" i="28"/>
  <c r="T27" i="28"/>
  <c r="N27" i="28"/>
  <c r="J27" i="28"/>
  <c r="F27" i="28"/>
  <c r="T26" i="28"/>
  <c r="N26" i="28"/>
  <c r="J26" i="28"/>
  <c r="F26" i="28"/>
  <c r="T25" i="28"/>
  <c r="N25" i="28"/>
  <c r="J25" i="28"/>
  <c r="F25" i="28"/>
  <c r="T24" i="28"/>
  <c r="N24" i="28"/>
  <c r="J24" i="28"/>
  <c r="F24" i="28"/>
  <c r="T23" i="28"/>
  <c r="N23" i="28"/>
  <c r="J23" i="28"/>
  <c r="F23" i="28"/>
  <c r="T22" i="28"/>
  <c r="N22" i="28"/>
  <c r="J22" i="28"/>
  <c r="F22" i="28"/>
  <c r="T21" i="28"/>
  <c r="N21" i="28"/>
  <c r="J21" i="28"/>
  <c r="F21" i="28"/>
  <c r="T20" i="28"/>
  <c r="N20" i="28"/>
  <c r="J20" i="28"/>
  <c r="F20" i="28"/>
  <c r="T19" i="28"/>
  <c r="N19" i="28"/>
  <c r="J19" i="28"/>
  <c r="F19" i="28"/>
  <c r="T18" i="28"/>
  <c r="N18" i="28"/>
  <c r="J18" i="28"/>
  <c r="F18" i="28"/>
  <c r="T17" i="28"/>
  <c r="N17" i="28"/>
  <c r="J17" i="28"/>
  <c r="F17" i="28"/>
  <c r="T16" i="28"/>
  <c r="N16" i="28"/>
  <c r="J16" i="28"/>
  <c r="F16" i="28"/>
  <c r="T15" i="28"/>
  <c r="N15" i="28"/>
  <c r="J15" i="28"/>
  <c r="F15" i="28"/>
  <c r="T14" i="28"/>
  <c r="N14" i="28"/>
  <c r="J14" i="28"/>
  <c r="F14" i="28"/>
  <c r="T13" i="28"/>
  <c r="N13" i="28"/>
  <c r="J13" i="28"/>
  <c r="F13" i="28"/>
  <c r="T12" i="28"/>
  <c r="N12" i="28"/>
  <c r="J12" i="28"/>
  <c r="F12" i="28"/>
  <c r="T11" i="28"/>
  <c r="N11" i="28"/>
  <c r="J11" i="28"/>
  <c r="F11" i="28"/>
  <c r="N10" i="28"/>
  <c r="J10" i="28"/>
  <c r="F10" i="28"/>
  <c r="T9" i="28"/>
  <c r="N9" i="28"/>
  <c r="J9" i="28"/>
  <c r="F9" i="28"/>
  <c r="T8" i="28"/>
  <c r="N8" i="28"/>
  <c r="J8" i="28"/>
  <c r="F8" i="28"/>
  <c r="T7" i="28"/>
  <c r="N7" i="28"/>
  <c r="J7" i="28"/>
  <c r="F7" i="28"/>
  <c r="T6" i="28"/>
  <c r="N6" i="28"/>
  <c r="J6" i="28"/>
  <c r="F6" i="28"/>
  <c r="T5" i="28"/>
  <c r="N5" i="28"/>
  <c r="J5" i="28"/>
  <c r="F5" i="28"/>
  <c r="N4" i="28"/>
  <c r="J4" i="28"/>
  <c r="F4" i="28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P18" i="28" l="1"/>
  <c r="AD4" i="28"/>
  <c r="AD5" i="28"/>
  <c r="AD6" i="28"/>
  <c r="T29" i="28"/>
  <c r="AD10" i="28"/>
  <c r="P4" i="28"/>
  <c r="P6" i="28"/>
  <c r="P5" i="28"/>
  <c r="P10" i="28"/>
  <c r="AD25" i="28"/>
  <c r="P17" i="28"/>
  <c r="J29" i="28"/>
  <c r="F29" i="28"/>
  <c r="N29" i="28"/>
  <c r="P8" i="28"/>
  <c r="P20" i="28"/>
  <c r="P16" i="28"/>
  <c r="P14" i="28"/>
  <c r="P22" i="28"/>
  <c r="P13" i="28"/>
  <c r="AD16" i="28"/>
  <c r="AD28" i="28"/>
  <c r="AD9" i="28"/>
  <c r="AD21" i="28"/>
  <c r="AD14" i="28"/>
  <c r="AD26" i="28"/>
  <c r="AD7" i="28"/>
  <c r="AD19" i="28"/>
  <c r="AD12" i="28"/>
  <c r="AD24" i="28"/>
  <c r="AD17" i="28"/>
  <c r="AD22" i="28"/>
  <c r="AD15" i="28"/>
  <c r="AD27" i="28"/>
  <c r="AD8" i="28"/>
  <c r="AD20" i="28"/>
  <c r="AD13" i="28"/>
  <c r="AD18" i="28"/>
  <c r="AD11" i="28"/>
  <c r="AD23" i="28"/>
  <c r="P25" i="28"/>
  <c r="P7" i="28"/>
  <c r="P19" i="28"/>
  <c r="P28" i="28"/>
  <c r="P15" i="28"/>
  <c r="P27" i="28"/>
  <c r="P11" i="28"/>
  <c r="P23" i="28"/>
  <c r="P9" i="28"/>
  <c r="P21" i="28"/>
  <c r="P26" i="28"/>
  <c r="P12" i="28"/>
  <c r="P24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F5" i="28" l="1"/>
  <c r="AE5" i="28"/>
  <c r="AF19" i="28"/>
  <c r="AF21" i="28"/>
  <c r="AF17" i="28"/>
  <c r="AF6" i="28"/>
  <c r="AF28" i="28"/>
  <c r="AF7" i="28"/>
  <c r="AF8" i="28"/>
  <c r="AF13" i="28"/>
  <c r="AF18" i="28"/>
  <c r="AF26" i="28"/>
  <c r="Z4" i="28"/>
  <c r="AF20" i="28"/>
  <c r="AF14" i="28"/>
  <c r="AF24" i="28"/>
  <c r="AF9" i="28"/>
  <c r="AF15" i="28"/>
  <c r="AF25" i="28"/>
  <c r="AF10" i="28"/>
  <c r="AF27" i="28"/>
  <c r="AF12" i="28"/>
  <c r="AF22" i="28"/>
  <c r="AF4" i="28"/>
  <c r="AF11" i="28"/>
  <c r="AF16" i="28"/>
  <c r="AF23" i="28"/>
  <c r="Z5" i="28"/>
  <c r="AI5" i="28" s="1"/>
  <c r="Z6" i="28"/>
  <c r="AI6" i="28" s="1"/>
  <c r="AE4" i="28"/>
  <c r="Z10" i="28"/>
  <c r="AI10" i="28" s="1"/>
  <c r="Z25" i="28"/>
  <c r="AI25" i="28" s="1"/>
  <c r="P29" i="28"/>
  <c r="AE19" i="28"/>
  <c r="AE7" i="28"/>
  <c r="AE9" i="28"/>
  <c r="AE26" i="28"/>
  <c r="AE8" i="28"/>
  <c r="AE21" i="28"/>
  <c r="AE24" i="28"/>
  <c r="AE6" i="28"/>
  <c r="AE11" i="28"/>
  <c r="AE23" i="28"/>
  <c r="AE22" i="28"/>
  <c r="AE12" i="28"/>
  <c r="AE25" i="28"/>
  <c r="AE14" i="28"/>
  <c r="AE15" i="28"/>
  <c r="AE27" i="28"/>
  <c r="AE13" i="28"/>
  <c r="AE16" i="28"/>
  <c r="AE28" i="28"/>
  <c r="AE17" i="28"/>
  <c r="AE18" i="28"/>
  <c r="AE10" i="28"/>
  <c r="AE20" i="28"/>
  <c r="Z22" i="28"/>
  <c r="AI22" i="28" s="1"/>
  <c r="Z9" i="28"/>
  <c r="AI9" i="28" s="1"/>
  <c r="Z11" i="28"/>
  <c r="AI11" i="28" s="1"/>
  <c r="Z13" i="28"/>
  <c r="AI13" i="28" s="1"/>
  <c r="Z27" i="28"/>
  <c r="AI27" i="28" s="1"/>
  <c r="Z24" i="28"/>
  <c r="AI24" i="28" s="1"/>
  <c r="Z26" i="28"/>
  <c r="AI26" i="28" s="1"/>
  <c r="Z14" i="28"/>
  <c r="AI14" i="28" s="1"/>
  <c r="Z20" i="28"/>
  <c r="AI20" i="28" s="1"/>
  <c r="Z16" i="28"/>
  <c r="AI16" i="28" s="1"/>
  <c r="Z8" i="28"/>
  <c r="AI8" i="28" s="1"/>
  <c r="Z28" i="28"/>
  <c r="AI28" i="28" s="1"/>
  <c r="Z23" i="28"/>
  <c r="AI23" i="28" s="1"/>
  <c r="Z15" i="28"/>
  <c r="AI15" i="28" s="1"/>
  <c r="Z19" i="28"/>
  <c r="AI19" i="28" s="1"/>
  <c r="Z17" i="28"/>
  <c r="AI17" i="28" s="1"/>
  <c r="Z21" i="28"/>
  <c r="AI21" i="28" s="1"/>
  <c r="Z18" i="28"/>
  <c r="AI18" i="28" s="1"/>
  <c r="Z7" i="28"/>
  <c r="AI7" i="28" s="1"/>
  <c r="Z12" i="28"/>
  <c r="AI12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B4" i="28" l="1"/>
  <c r="AI4" i="28"/>
  <c r="AA4" i="28"/>
  <c r="AB17" i="28"/>
  <c r="AB5" i="28"/>
  <c r="AB28" i="28"/>
  <c r="AB16" i="28"/>
  <c r="AB27" i="28"/>
  <c r="AB15" i="28"/>
  <c r="AB26" i="28"/>
  <c r="AB14" i="28"/>
  <c r="AB25" i="28"/>
  <c r="AB13" i="28"/>
  <c r="AB24" i="28"/>
  <c r="AB12" i="28"/>
  <c r="AB23" i="28"/>
  <c r="AB11" i="28"/>
  <c r="AB22" i="28"/>
  <c r="AB10" i="28"/>
  <c r="AB8" i="28"/>
  <c r="AB21" i="28"/>
  <c r="AB9" i="28"/>
  <c r="AA5" i="28"/>
  <c r="AB20" i="28"/>
  <c r="AB19" i="28"/>
  <c r="AB7" i="28"/>
  <c r="AB18" i="28"/>
  <c r="AB6" i="28"/>
  <c r="AA8" i="28"/>
  <c r="AA14" i="28"/>
  <c r="AA16" i="28"/>
  <c r="AA20" i="28"/>
  <c r="AA28" i="28"/>
  <c r="AA17" i="28"/>
  <c r="AA18" i="28"/>
  <c r="AA9" i="28"/>
  <c r="AA11" i="28"/>
  <c r="AA23" i="28"/>
  <c r="AA21" i="28"/>
  <c r="AA22" i="28"/>
  <c r="AA12" i="28"/>
  <c r="AA24" i="28"/>
  <c r="AA10" i="28"/>
  <c r="AA13" i="28"/>
  <c r="AA25" i="28"/>
  <c r="AA7" i="28"/>
  <c r="AA26" i="28"/>
  <c r="AA15" i="28"/>
  <c r="AA27" i="28"/>
  <c r="AA6" i="28"/>
  <c r="AA19" i="28"/>
  <c r="J28" i="2"/>
  <c r="J28" i="10"/>
  <c r="F28" i="3" l="1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G28" i="1" s="1"/>
  <c r="AE22" i="14" l="1"/>
  <c r="AE10" i="14"/>
  <c r="AE16" i="14"/>
  <c r="AE13" i="14"/>
  <c r="AE21" i="14"/>
  <c r="AE9" i="14"/>
  <c r="AE15" i="14"/>
  <c r="AE12" i="14"/>
  <c r="AE20" i="14"/>
  <c r="AE8" i="14"/>
  <c r="AA28" i="14"/>
  <c r="AE24" i="14"/>
  <c r="AE19" i="14"/>
  <c r="AE7" i="14"/>
  <c r="AE25" i="14"/>
  <c r="AE4" i="14"/>
  <c r="AE18" i="14"/>
  <c r="AE6" i="14"/>
  <c r="AE5" i="14"/>
  <c r="AE14" i="14"/>
  <c r="AE11" i="14"/>
  <c r="AE29" i="14"/>
  <c r="AE17" i="14"/>
  <c r="AE23" i="14"/>
  <c r="AE28" i="14"/>
  <c r="AE27" i="14"/>
  <c r="AE26" i="14"/>
  <c r="B4" i="14"/>
  <c r="AA18" i="14"/>
  <c r="AA21" i="14"/>
  <c r="AA8" i="14"/>
  <c r="AA14" i="14"/>
  <c r="AA12" i="14"/>
  <c r="AA9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7" i="14"/>
  <c r="AA23" i="14"/>
  <c r="B29" i="14"/>
  <c r="AC4" i="14" l="1"/>
  <c r="AG21" i="14"/>
  <c r="AG24" i="14"/>
  <c r="AF29" i="14"/>
  <c r="AG29" i="14"/>
  <c r="AG20" i="14"/>
  <c r="AG7" i="14"/>
  <c r="AF10" i="14"/>
  <c r="AF17" i="14"/>
  <c r="AF12" i="14"/>
  <c r="AF15" i="14"/>
  <c r="AG15" i="14"/>
  <c r="AF8" i="14"/>
  <c r="AF11" i="14"/>
  <c r="AF28" i="14"/>
  <c r="AF19" i="14"/>
  <c r="AF22" i="14"/>
  <c r="AF24" i="14"/>
  <c r="AF27" i="14"/>
  <c r="AG27" i="14"/>
  <c r="AF20" i="14"/>
  <c r="AF23" i="14"/>
  <c r="AG14" i="14"/>
  <c r="AG17" i="14"/>
  <c r="AG10" i="14"/>
  <c r="AG13" i="14"/>
  <c r="AF6" i="14"/>
  <c r="AG6" i="14"/>
  <c r="AG9" i="14"/>
  <c r="AG28" i="14"/>
  <c r="AF26" i="14"/>
  <c r="AG22" i="14"/>
  <c r="AG25" i="14"/>
  <c r="AF18" i="14"/>
  <c r="AG18" i="14"/>
  <c r="AG26" i="14"/>
  <c r="AG12" i="14"/>
  <c r="AF13" i="14"/>
  <c r="AF4" i="14"/>
  <c r="AG4" i="14"/>
  <c r="AF9" i="14"/>
  <c r="AF7" i="14"/>
  <c r="AG5" i="14"/>
  <c r="AF25" i="14"/>
  <c r="AF16" i="14"/>
  <c r="AG16" i="14"/>
  <c r="AF21" i="14"/>
  <c r="AG19" i="14"/>
  <c r="AF5" i="14"/>
  <c r="AG8" i="14"/>
  <c r="AG11" i="14"/>
  <c r="AG23" i="14"/>
  <c r="AF14" i="14"/>
  <c r="AB27" i="14"/>
  <c r="AC27" i="14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18" i="14"/>
  <c r="AC8" i="14"/>
  <c r="AC23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G30" i="14" l="1"/>
  <c r="AC30" i="14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D28" i="1" l="1"/>
  <c r="E29" i="14" l="1"/>
  <c r="E28" i="1"/>
  <c r="V29" i="14" s="1"/>
  <c r="F24" i="2"/>
  <c r="V4" i="14" l="1"/>
  <c r="V5" i="14"/>
  <c r="V19" i="14"/>
  <c r="V17" i="14"/>
  <c r="V21" i="14"/>
  <c r="V20" i="14"/>
  <c r="V22" i="14"/>
  <c r="V12" i="14"/>
  <c r="V8" i="14"/>
  <c r="V14" i="14"/>
  <c r="V26" i="14"/>
  <c r="V23" i="14"/>
  <c r="V27" i="14"/>
  <c r="V9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28" i="14" l="1"/>
  <c r="X26" i="14"/>
  <c r="X25" i="14"/>
  <c r="X24" i="14"/>
  <c r="X4" i="14"/>
  <c r="X14" i="14"/>
  <c r="X5" i="14"/>
  <c r="X18" i="14"/>
  <c r="X27" i="14"/>
  <c r="W9" i="14"/>
  <c r="W27" i="14"/>
  <c r="X10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W12" i="14"/>
  <c r="X6" i="14"/>
  <c r="X17" i="14"/>
  <c r="W20" i="14"/>
  <c r="W28" i="14"/>
  <c r="X8" i="14"/>
  <c r="X13" i="14"/>
  <c r="X7" i="14"/>
  <c r="W6" i="14"/>
  <c r="X20" i="14"/>
  <c r="W14" i="14"/>
  <c r="W26" i="14"/>
  <c r="E28" i="10"/>
  <c r="G28" i="10"/>
  <c r="H3" i="23" l="1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H29" i="14" l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6" i="20" l="1"/>
  <c r="F25" i="21"/>
  <c r="H27" i="2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<sst xmlns="http://schemas.openxmlformats.org/spreadsheetml/2006/main" count="442" uniqueCount="102">
  <si>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</si>
  <si>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</si>
  <si>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</si>
  <si>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</si>
  <si>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</si>
  <si>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</si>
  <si>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</si>
  <si>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</si>
  <si>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</si>
  <si>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</si>
  <si>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</si>
  <si>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</si>
  <si>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</si>
  <si>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</si>
  <si>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</si>
  <si>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</si>
  <si>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</si>
  <si>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</si>
  <si>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</si>
  <si>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</si>
  <si>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</si>
  <si>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</si>
  <si>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</si>
  <si>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</si>
  <si>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</si>
  <si>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</si>
  <si>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</si>
  <si>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</si>
  <si>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</si>
  <si>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</si>
  <si>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</si>
  <si>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</si>
  <si>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</si>
  <si>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</si>
  <si>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</si>
  <si>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</si>
  <si>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</si>
  <si>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</si>
  <si>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</si>
  <si>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</si>
  <si>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</si>
  <si>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</si>
  <si>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</si>
  <si>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</si>
  <si>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</si>
  <si>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</si>
  <si>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</si>
  <si>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</si>
  <si>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</si>
  <si>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</si>
  <si>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</si>
  <si>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X</t>
  </si>
  <si>
    <t>Y</t>
  </si>
  <si>
    <t>stan na 31-12-2022</t>
  </si>
  <si>
    <t>lokata X</t>
  </si>
  <si>
    <t>lokata Y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</si>
  <si>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</si>
  <si>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</si>
  <si>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</si>
  <si>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</si>
  <si>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</si>
  <si>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</si>
  <si>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</si>
  <si>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wzrost/spadek [Y]</t>
  </si>
  <si>
    <t>różnica</t>
  </si>
  <si>
    <t>róznica</t>
  </si>
  <si>
    <t>Spadki i wzrosty - liczba bezrobotnych wg powiatów [podkarpackie]</t>
  </si>
  <si>
    <t>Liczba bezrobotnych od najwyższej</t>
  </si>
  <si>
    <t>wzrost/spadek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</si>
  <si>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</si>
  <si>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</si>
  <si>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</si>
  <si>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</si>
  <si>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Zmiana stanu na k. okr. [liczba bezr.]</t>
  </si>
  <si>
    <t>liczba bezrobotnych kobiet stan na 30-11-'24 r.</t>
  </si>
  <si>
    <t>liczba ofert w 11-'24 r.</t>
  </si>
  <si>
    <t>liczba bezrobotnych ogółem stan na 30-11-'24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</si>
  <si>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31-12-'24 r.</t>
    </r>
  </si>
  <si>
    <t>liczba bezrobotnych ogółem stan na 31-12-'23 r.</t>
  </si>
  <si>
    <t>liczba bezrobotnych kobiet stan na 31-12-'24 r.</t>
  </si>
  <si>
    <t>liczba bezrobotnych kobiet stan na 31-12-'23 r.</t>
  </si>
  <si>
    <t>liczba bezrobotnych zam. na wsi stan na 30-11-'24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</si>
  <si>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31-12-'24 r.</t>
    </r>
  </si>
  <si>
    <r>
      <t>liczba bezrobotnych zam. na wsi stan na 31</t>
    </r>
    <r>
      <rPr>
        <sz val="12"/>
        <color theme="1"/>
        <rFont val="Arial"/>
        <family val="2"/>
        <charset val="238"/>
      </rPr>
      <t>-12-'23 r.</t>
    </r>
  </si>
  <si>
    <t>liczba bezrobotnych pow. 12 m-cy stan na 30-11-'24 r.</t>
  </si>
  <si>
    <r>
      <t>liczba bezrobotnych pow. 12 m-cy stan na 31</t>
    </r>
    <r>
      <rPr>
        <sz val="12"/>
        <color theme="1"/>
        <rFont val="Arial"/>
        <family val="2"/>
        <charset val="238"/>
      </rPr>
      <t>-12-'24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</si>
  <si>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31-12-'23 r.</t>
    </r>
  </si>
  <si>
    <t>liczba bezrobotnych do 30 r. ż. stan na 30-11-'24 r.</t>
  </si>
  <si>
    <r>
      <t>liczba bezrobotnych do 30 r. ż. stan na 31</t>
    </r>
    <r>
      <rPr>
        <sz val="12"/>
        <color theme="1"/>
        <rFont val="Arial"/>
        <family val="2"/>
        <charset val="238"/>
      </rPr>
      <t>-12-'24 r.</t>
    </r>
  </si>
  <si>
    <r>
      <t>liczba bezrobotnych do 30 r. ż. stan na 31</t>
    </r>
    <r>
      <rPr>
        <sz val="12"/>
        <color theme="1"/>
        <rFont val="Arial"/>
        <family val="2"/>
        <charset val="238"/>
      </rPr>
      <t>-12-'23 r.</t>
    </r>
  </si>
  <si>
    <t>liczba bezrobotnych 50+ stan na 30-11'24 r.</t>
  </si>
  <si>
    <r>
      <t>liczba bezrobotnych 50+ stan na 31</t>
    </r>
    <r>
      <rPr>
        <sz val="12"/>
        <color theme="1"/>
        <rFont val="Arial"/>
        <family val="2"/>
        <charset val="238"/>
      </rPr>
      <t>-12-'24 r.</t>
    </r>
  </si>
  <si>
    <r>
      <t>liczba bezrobotnych 50+ stan na 31</t>
    </r>
    <r>
      <rPr>
        <sz val="12"/>
        <color theme="1"/>
        <rFont val="Arial"/>
        <family val="2"/>
        <charset val="238"/>
      </rPr>
      <t>-12-'23 r.</t>
    </r>
  </si>
  <si>
    <t>liczba ofert w 12-'24 r.</t>
  </si>
  <si>
    <t>liczba ofert w 12-'23 r.</t>
  </si>
  <si>
    <t>podjecia pracy niesubs. 2023</t>
  </si>
  <si>
    <t>podjecia pracy niesubs. 2024</t>
  </si>
  <si>
    <t>praca subs. 2023</t>
  </si>
  <si>
    <t>praca subs. 2024</t>
  </si>
  <si>
    <t>staże 2023</t>
  </si>
  <si>
    <t>staże 2024</t>
  </si>
  <si>
    <t>stan na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</si>
</sst>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71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5" borderId="27" xfId="0" applyFont="1" applyFill="1" applyBorder="1" applyAlignment="1">
      <alignment horizontal="center" vertical="center" wrapText="1"/>
    </xf>
    <xf numFmtId="1" fontId="9" fillId="6" borderId="29" xfId="0" applyNumberFormat="1" applyFont="1" applyFill="1" applyBorder="1" applyAlignment="1">
      <alignment horizontal="center" vertical="center"/>
    </xf>
    <xf numFmtId="1" fontId="9" fillId="6" borderId="30" xfId="0" applyNumberFormat="1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9" fillId="6" borderId="18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2" fontId="9" fillId="6" borderId="19" xfId="0" applyNumberFormat="1" applyFont="1" applyFill="1" applyBorder="1" applyAlignment="1">
      <alignment horizontal="center" vertical="center" wrapText="1"/>
    </xf>
    <xf numFmtId="2" fontId="9" fillId="6" borderId="38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 vertical="top"/>
    </xf>
    <xf numFmtId="3" fontId="2" fillId="7" borderId="0" xfId="0" applyNumberFormat="1" applyFont="1" applyFill="1" applyAlignment="1">
      <alignment horizont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 wrapText="1"/>
    </xf>
    <xf numFmtId="3" fontId="9" fillId="2" borderId="24" xfId="0" applyNumberFormat="1" applyFont="1" applyFill="1" applyBorder="1" applyAlignment="1">
      <alignment horizontal="center" vertical="center"/>
    </xf>
    <xf numFmtId="3" fontId="9" fillId="2" borderId="13" xfId="1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/>
    </xf>
    <xf numFmtId="3" fontId="9" fillId="2" borderId="15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3" fontId="11" fillId="2" borderId="15" xfId="1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FFFCC"/>
      <color rgb="FFFFEE9B"/>
      <color rgb="FFFFCC99"/>
      <color rgb="FFEAF0F6"/>
      <color rgb="FFFFFFFF"/>
      <color rgb="FFFEF4EC"/>
      <color rgb="FFF8EDEC"/>
      <color rgb="FFF5E4E3"/>
      <color rgb="FFFDE2C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829185361607"/>
          <c:y val="8.0408578765934824E-2"/>
          <c:w val="0.7794275691062873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lubaczowski</c:v>
                </c:pt>
                <c:pt idx="6">
                  <c:v>leski</c:v>
                </c:pt>
                <c:pt idx="7">
                  <c:v>stalowowolski</c:v>
                </c:pt>
                <c:pt idx="8">
                  <c:v>dębicki</c:v>
                </c:pt>
                <c:pt idx="9">
                  <c:v>Przemyśl</c:v>
                </c:pt>
                <c:pt idx="10">
                  <c:v>krośnieński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niżański</c:v>
                </c:pt>
                <c:pt idx="15">
                  <c:v>przemyski</c:v>
                </c:pt>
                <c:pt idx="16">
                  <c:v>leżajski</c:v>
                </c:pt>
                <c:pt idx="17">
                  <c:v>mielecki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814</c:v>
                </c:pt>
                <c:pt idx="1">
                  <c:v>999</c:v>
                </c:pt>
                <c:pt idx="2">
                  <c:v>1130</c:v>
                </c:pt>
                <c:pt idx="3">
                  <c:v>1243</c:v>
                </c:pt>
                <c:pt idx="4">
                  <c:v>1536</c:v>
                </c:pt>
                <c:pt idx="5">
                  <c:v>1704</c:v>
                </c:pt>
                <c:pt idx="6">
                  <c:v>1726</c:v>
                </c:pt>
                <c:pt idx="7">
                  <c:v>2098</c:v>
                </c:pt>
                <c:pt idx="8">
                  <c:v>2247</c:v>
                </c:pt>
                <c:pt idx="9">
                  <c:v>2338</c:v>
                </c:pt>
                <c:pt idx="10">
                  <c:v>2356</c:v>
                </c:pt>
                <c:pt idx="11">
                  <c:v>2519</c:v>
                </c:pt>
                <c:pt idx="12">
                  <c:v>2673</c:v>
                </c:pt>
                <c:pt idx="13">
                  <c:v>2881</c:v>
                </c:pt>
                <c:pt idx="14">
                  <c:v>2929</c:v>
                </c:pt>
                <c:pt idx="15">
                  <c:v>2958</c:v>
                </c:pt>
                <c:pt idx="16">
                  <c:v>2975</c:v>
                </c:pt>
                <c:pt idx="17">
                  <c:v>3075</c:v>
                </c:pt>
                <c:pt idx="18">
                  <c:v>3113</c:v>
                </c:pt>
                <c:pt idx="19">
                  <c:v>3337</c:v>
                </c:pt>
                <c:pt idx="20">
                  <c:v>3780</c:v>
                </c:pt>
                <c:pt idx="21">
                  <c:v>4489</c:v>
                </c:pt>
                <c:pt idx="22">
                  <c:v>4540</c:v>
                </c:pt>
                <c:pt idx="23">
                  <c:v>4919</c:v>
                </c:pt>
                <c:pt idx="24">
                  <c:v>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Tarnobrzeg</c:v>
                </c:pt>
                <c:pt idx="1">
                  <c:v>dębicki</c:v>
                </c:pt>
                <c:pt idx="2">
                  <c:v>tarnobrzeski </c:v>
                </c:pt>
                <c:pt idx="3">
                  <c:v>kolbuszowski</c:v>
                </c:pt>
                <c:pt idx="4">
                  <c:v>Rzeszów</c:v>
                </c:pt>
                <c:pt idx="5">
                  <c:v>lubaczowski</c:v>
                </c:pt>
                <c:pt idx="6">
                  <c:v>Krosno</c:v>
                </c:pt>
                <c:pt idx="7">
                  <c:v>mielecki</c:v>
                </c:pt>
                <c:pt idx="8">
                  <c:v>Przemyśl</c:v>
                </c:pt>
                <c:pt idx="9">
                  <c:v>leski</c:v>
                </c:pt>
                <c:pt idx="10">
                  <c:v>stalowowolski</c:v>
                </c:pt>
                <c:pt idx="11">
                  <c:v>bieszczadzki</c:v>
                </c:pt>
                <c:pt idx="12">
                  <c:v>przeworski</c:v>
                </c:pt>
                <c:pt idx="13">
                  <c:v>rzeszowski</c:v>
                </c:pt>
                <c:pt idx="14">
                  <c:v>krośnieński</c:v>
                </c:pt>
                <c:pt idx="15">
                  <c:v>niżański</c:v>
                </c:pt>
                <c:pt idx="16">
                  <c:v>jasielski</c:v>
                </c:pt>
                <c:pt idx="17">
                  <c:v>ropczycko-sędziszowski</c:v>
                </c:pt>
                <c:pt idx="18">
                  <c:v>sanocki</c:v>
                </c:pt>
                <c:pt idx="19">
                  <c:v>brzozowski</c:v>
                </c:pt>
                <c:pt idx="20">
                  <c:v>leżajski</c:v>
                </c:pt>
                <c:pt idx="21">
                  <c:v>łańcucki</c:v>
                </c:pt>
                <c:pt idx="22">
                  <c:v>przemyski</c:v>
                </c:pt>
                <c:pt idx="23">
                  <c:v>strzyżowski</c:v>
                </c:pt>
                <c:pt idx="24">
                  <c:v>jarosławski</c:v>
                </c:pt>
                <c:pt idx="25">
                  <c:v>województwo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-16</c:v>
                </c:pt>
                <c:pt idx="1">
                  <c:v>11</c:v>
                </c:pt>
                <c:pt idx="2">
                  <c:v>15</c:v>
                </c:pt>
                <c:pt idx="3">
                  <c:v>16</c:v>
                </c:pt>
                <c:pt idx="4">
                  <c:v>16</c:v>
                </c:pt>
                <c:pt idx="5">
                  <c:v>22</c:v>
                </c:pt>
                <c:pt idx="6">
                  <c:v>25</c:v>
                </c:pt>
                <c:pt idx="7">
                  <c:v>37</c:v>
                </c:pt>
                <c:pt idx="8">
                  <c:v>43</c:v>
                </c:pt>
                <c:pt idx="9">
                  <c:v>53</c:v>
                </c:pt>
                <c:pt idx="10">
                  <c:v>53</c:v>
                </c:pt>
                <c:pt idx="11">
                  <c:v>55</c:v>
                </c:pt>
                <c:pt idx="12">
                  <c:v>57</c:v>
                </c:pt>
                <c:pt idx="13">
                  <c:v>67</c:v>
                </c:pt>
                <c:pt idx="14">
                  <c:v>84</c:v>
                </c:pt>
                <c:pt idx="15">
                  <c:v>87</c:v>
                </c:pt>
                <c:pt idx="16">
                  <c:v>90</c:v>
                </c:pt>
                <c:pt idx="17">
                  <c:v>92</c:v>
                </c:pt>
                <c:pt idx="18">
                  <c:v>92</c:v>
                </c:pt>
                <c:pt idx="19">
                  <c:v>102</c:v>
                </c:pt>
                <c:pt idx="20">
                  <c:v>104</c:v>
                </c:pt>
                <c:pt idx="21">
                  <c:v>107</c:v>
                </c:pt>
                <c:pt idx="22">
                  <c:v>148</c:v>
                </c:pt>
                <c:pt idx="23">
                  <c:v>149</c:v>
                </c:pt>
                <c:pt idx="24">
                  <c:v>203</c:v>
                </c:pt>
                <c:pt idx="25">
                  <c:v>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lubaczowski</c:v>
                </c:pt>
                <c:pt idx="6">
                  <c:v>leski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dębicki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niżański</c:v>
                </c:pt>
                <c:pt idx="15">
                  <c:v>przemyski</c:v>
                </c:pt>
                <c:pt idx="16">
                  <c:v>mielecki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426</c:v>
                </c:pt>
                <c:pt idx="1">
                  <c:v>493</c:v>
                </c:pt>
                <c:pt idx="2">
                  <c:v>538</c:v>
                </c:pt>
                <c:pt idx="3">
                  <c:v>619</c:v>
                </c:pt>
                <c:pt idx="4">
                  <c:v>709</c:v>
                </c:pt>
                <c:pt idx="5">
                  <c:v>780</c:v>
                </c:pt>
                <c:pt idx="6">
                  <c:v>800</c:v>
                </c:pt>
                <c:pt idx="7">
                  <c:v>1083</c:v>
                </c:pt>
                <c:pt idx="8">
                  <c:v>1084</c:v>
                </c:pt>
                <c:pt idx="9">
                  <c:v>1195</c:v>
                </c:pt>
                <c:pt idx="10">
                  <c:v>1304</c:v>
                </c:pt>
                <c:pt idx="11">
                  <c:v>1355</c:v>
                </c:pt>
                <c:pt idx="12">
                  <c:v>1378</c:v>
                </c:pt>
                <c:pt idx="13">
                  <c:v>1404</c:v>
                </c:pt>
                <c:pt idx="14">
                  <c:v>1452</c:v>
                </c:pt>
                <c:pt idx="15">
                  <c:v>1459</c:v>
                </c:pt>
                <c:pt idx="16">
                  <c:v>1506</c:v>
                </c:pt>
                <c:pt idx="17">
                  <c:v>1524</c:v>
                </c:pt>
                <c:pt idx="18">
                  <c:v>1569</c:v>
                </c:pt>
                <c:pt idx="19">
                  <c:v>1750</c:v>
                </c:pt>
                <c:pt idx="20">
                  <c:v>1833</c:v>
                </c:pt>
                <c:pt idx="21">
                  <c:v>2159</c:v>
                </c:pt>
                <c:pt idx="22">
                  <c:v>2302</c:v>
                </c:pt>
                <c:pt idx="23">
                  <c:v>2475</c:v>
                </c:pt>
                <c:pt idx="24">
                  <c:v>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kolbuszowski</c:v>
                </c:pt>
                <c:pt idx="5">
                  <c:v>dębicki</c:v>
                </c:pt>
                <c:pt idx="6">
                  <c:v>leski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niżański</c:v>
                </c:pt>
                <c:pt idx="11">
                  <c:v>łańcucki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strzyżowski</c:v>
                </c:pt>
                <c:pt idx="16">
                  <c:v>jarosławski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725</c:v>
                </c:pt>
                <c:pt idx="1">
                  <c:v>824</c:v>
                </c:pt>
                <c:pt idx="2">
                  <c:v>1021</c:v>
                </c:pt>
                <c:pt idx="3">
                  <c:v>1117</c:v>
                </c:pt>
                <c:pt idx="4">
                  <c:v>1328</c:v>
                </c:pt>
                <c:pt idx="5">
                  <c:v>1361</c:v>
                </c:pt>
                <c:pt idx="6">
                  <c:v>1439</c:v>
                </c:pt>
                <c:pt idx="7">
                  <c:v>1572</c:v>
                </c:pt>
                <c:pt idx="8">
                  <c:v>1712</c:v>
                </c:pt>
                <c:pt idx="9">
                  <c:v>1742</c:v>
                </c:pt>
                <c:pt idx="10">
                  <c:v>1913</c:v>
                </c:pt>
                <c:pt idx="11">
                  <c:v>1958</c:v>
                </c:pt>
                <c:pt idx="12">
                  <c:v>2130</c:v>
                </c:pt>
                <c:pt idx="13">
                  <c:v>2255</c:v>
                </c:pt>
                <c:pt idx="14">
                  <c:v>2528</c:v>
                </c:pt>
                <c:pt idx="15">
                  <c:v>2778</c:v>
                </c:pt>
                <c:pt idx="16">
                  <c:v>2792</c:v>
                </c:pt>
                <c:pt idx="17">
                  <c:v>2885</c:v>
                </c:pt>
                <c:pt idx="18">
                  <c:v>3473</c:v>
                </c:pt>
                <c:pt idx="19">
                  <c:v>3508</c:v>
                </c:pt>
                <c:pt idx="20">
                  <c:v>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dębicki</c:v>
                </c:pt>
                <c:pt idx="8">
                  <c:v>krośnieński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mielecki</c:v>
                </c:pt>
                <c:pt idx="13">
                  <c:v>Przemyśl</c:v>
                </c:pt>
                <c:pt idx="14">
                  <c:v>sanocki</c:v>
                </c:pt>
                <c:pt idx="15">
                  <c:v>niżański</c:v>
                </c:pt>
                <c:pt idx="16">
                  <c:v>leżajski</c:v>
                </c:pt>
                <c:pt idx="17">
                  <c:v>przemyski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341</c:v>
                </c:pt>
                <c:pt idx="1">
                  <c:v>521</c:v>
                </c:pt>
                <c:pt idx="2">
                  <c:v>633</c:v>
                </c:pt>
                <c:pt idx="3">
                  <c:v>662</c:v>
                </c:pt>
                <c:pt idx="4">
                  <c:v>720</c:v>
                </c:pt>
                <c:pt idx="5">
                  <c:v>897</c:v>
                </c:pt>
                <c:pt idx="6">
                  <c:v>898</c:v>
                </c:pt>
                <c:pt idx="7">
                  <c:v>964</c:v>
                </c:pt>
                <c:pt idx="8">
                  <c:v>1020</c:v>
                </c:pt>
                <c:pt idx="9">
                  <c:v>1083</c:v>
                </c:pt>
                <c:pt idx="10">
                  <c:v>1223</c:v>
                </c:pt>
                <c:pt idx="11">
                  <c:v>1339</c:v>
                </c:pt>
                <c:pt idx="12">
                  <c:v>1490</c:v>
                </c:pt>
                <c:pt idx="13">
                  <c:v>1515</c:v>
                </c:pt>
                <c:pt idx="14">
                  <c:v>1522</c:v>
                </c:pt>
                <c:pt idx="15">
                  <c:v>1647</c:v>
                </c:pt>
                <c:pt idx="16">
                  <c:v>1705</c:v>
                </c:pt>
                <c:pt idx="17">
                  <c:v>1725</c:v>
                </c:pt>
                <c:pt idx="18">
                  <c:v>1939</c:v>
                </c:pt>
                <c:pt idx="19">
                  <c:v>1962</c:v>
                </c:pt>
                <c:pt idx="20">
                  <c:v>2410</c:v>
                </c:pt>
                <c:pt idx="21">
                  <c:v>2461</c:v>
                </c:pt>
                <c:pt idx="22">
                  <c:v>2517</c:v>
                </c:pt>
                <c:pt idx="23">
                  <c:v>2872</c:v>
                </c:pt>
                <c:pt idx="24">
                  <c:v>2990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Przemyśl</c:v>
                </c:pt>
                <c:pt idx="5">
                  <c:v>kolbuszowski</c:v>
                </c:pt>
                <c:pt idx="6">
                  <c:v>leski</c:v>
                </c:pt>
                <c:pt idx="7">
                  <c:v>lubaczowski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łańcucki</c:v>
                </c:pt>
                <c:pt idx="12">
                  <c:v>przemyski</c:v>
                </c:pt>
                <c:pt idx="13">
                  <c:v>niżański</c:v>
                </c:pt>
                <c:pt idx="14">
                  <c:v>sanocki</c:v>
                </c:pt>
                <c:pt idx="15">
                  <c:v>mielecki</c:v>
                </c:pt>
                <c:pt idx="16">
                  <c:v>ropczycko-sędziszowski</c:v>
                </c:pt>
                <c:pt idx="17">
                  <c:v>strzyżowski</c:v>
                </c:pt>
                <c:pt idx="18">
                  <c:v>leżajski</c:v>
                </c:pt>
                <c:pt idx="19">
                  <c:v>przeworski</c:v>
                </c:pt>
                <c:pt idx="20">
                  <c:v>Rzeszów</c:v>
                </c:pt>
                <c:pt idx="21">
                  <c:v>brzozowski</c:v>
                </c:pt>
                <c:pt idx="22">
                  <c:v>jarosławski</c:v>
                </c:pt>
                <c:pt idx="23">
                  <c:v>rzeszowski</c:v>
                </c:pt>
                <c:pt idx="24">
                  <c:v>jasielski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189</c:v>
                </c:pt>
                <c:pt idx="1">
                  <c:v>206</c:v>
                </c:pt>
                <c:pt idx="2">
                  <c:v>314</c:v>
                </c:pt>
                <c:pt idx="3">
                  <c:v>316</c:v>
                </c:pt>
                <c:pt idx="4">
                  <c:v>430</c:v>
                </c:pt>
                <c:pt idx="5">
                  <c:v>431</c:v>
                </c:pt>
                <c:pt idx="6">
                  <c:v>440</c:v>
                </c:pt>
                <c:pt idx="7">
                  <c:v>495</c:v>
                </c:pt>
                <c:pt idx="8">
                  <c:v>538</c:v>
                </c:pt>
                <c:pt idx="9">
                  <c:v>641</c:v>
                </c:pt>
                <c:pt idx="10">
                  <c:v>710</c:v>
                </c:pt>
                <c:pt idx="11">
                  <c:v>765</c:v>
                </c:pt>
                <c:pt idx="12">
                  <c:v>789</c:v>
                </c:pt>
                <c:pt idx="13">
                  <c:v>791</c:v>
                </c:pt>
                <c:pt idx="14">
                  <c:v>793</c:v>
                </c:pt>
                <c:pt idx="15">
                  <c:v>832</c:v>
                </c:pt>
                <c:pt idx="16">
                  <c:v>859</c:v>
                </c:pt>
                <c:pt idx="17">
                  <c:v>864</c:v>
                </c:pt>
                <c:pt idx="18">
                  <c:v>882</c:v>
                </c:pt>
                <c:pt idx="19">
                  <c:v>929</c:v>
                </c:pt>
                <c:pt idx="20">
                  <c:v>963</c:v>
                </c:pt>
                <c:pt idx="21">
                  <c:v>1035</c:v>
                </c:pt>
                <c:pt idx="22">
                  <c:v>1195</c:v>
                </c:pt>
                <c:pt idx="23">
                  <c:v>1224</c:v>
                </c:pt>
                <c:pt idx="24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dębicki</c:v>
                </c:pt>
                <c:pt idx="8">
                  <c:v>stalowowolski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krośnieński</c:v>
                </c:pt>
                <c:pt idx="12">
                  <c:v>sanocki</c:v>
                </c:pt>
                <c:pt idx="13">
                  <c:v>leżajski</c:v>
                </c:pt>
                <c:pt idx="14">
                  <c:v>niżański</c:v>
                </c:pt>
                <c:pt idx="15">
                  <c:v>Przemyśl</c:v>
                </c:pt>
                <c:pt idx="16">
                  <c:v>przemyski</c:v>
                </c:pt>
                <c:pt idx="17">
                  <c:v>przeworski</c:v>
                </c:pt>
                <c:pt idx="18">
                  <c:v>mielecki</c:v>
                </c:pt>
                <c:pt idx="19">
                  <c:v>strzyżowski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195</c:v>
                </c:pt>
                <c:pt idx="1">
                  <c:v>247</c:v>
                </c:pt>
                <c:pt idx="2">
                  <c:v>293</c:v>
                </c:pt>
                <c:pt idx="3">
                  <c:v>346</c:v>
                </c:pt>
                <c:pt idx="4">
                  <c:v>416</c:v>
                </c:pt>
                <c:pt idx="5">
                  <c:v>455</c:v>
                </c:pt>
                <c:pt idx="6">
                  <c:v>470</c:v>
                </c:pt>
                <c:pt idx="7">
                  <c:v>528</c:v>
                </c:pt>
                <c:pt idx="8">
                  <c:v>565</c:v>
                </c:pt>
                <c:pt idx="9">
                  <c:v>576</c:v>
                </c:pt>
                <c:pt idx="10">
                  <c:v>599</c:v>
                </c:pt>
                <c:pt idx="11">
                  <c:v>606</c:v>
                </c:pt>
                <c:pt idx="12">
                  <c:v>673</c:v>
                </c:pt>
                <c:pt idx="13">
                  <c:v>679</c:v>
                </c:pt>
                <c:pt idx="14">
                  <c:v>695</c:v>
                </c:pt>
                <c:pt idx="15">
                  <c:v>722</c:v>
                </c:pt>
                <c:pt idx="16">
                  <c:v>732</c:v>
                </c:pt>
                <c:pt idx="17">
                  <c:v>736</c:v>
                </c:pt>
                <c:pt idx="18">
                  <c:v>756</c:v>
                </c:pt>
                <c:pt idx="19">
                  <c:v>764</c:v>
                </c:pt>
                <c:pt idx="20">
                  <c:v>903</c:v>
                </c:pt>
                <c:pt idx="21">
                  <c:v>1102</c:v>
                </c:pt>
                <c:pt idx="22">
                  <c:v>1111</c:v>
                </c:pt>
                <c:pt idx="23">
                  <c:v>1157</c:v>
                </c:pt>
                <c:pt idx="24">
                  <c:v>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bieszczadzki</c:v>
                </c:pt>
                <c:pt idx="1">
                  <c:v>przemyski</c:v>
                </c:pt>
                <c:pt idx="2">
                  <c:v>lubaczowski</c:v>
                </c:pt>
                <c:pt idx="3">
                  <c:v>niżański</c:v>
                </c:pt>
                <c:pt idx="4">
                  <c:v>leski</c:v>
                </c:pt>
                <c:pt idx="5">
                  <c:v>Przemyśl</c:v>
                </c:pt>
                <c:pt idx="6">
                  <c:v>brzozowski</c:v>
                </c:pt>
                <c:pt idx="7">
                  <c:v>krośnieński</c:v>
                </c:pt>
                <c:pt idx="8">
                  <c:v>ropczycko-sędziszowski</c:v>
                </c:pt>
                <c:pt idx="9">
                  <c:v>Krosno</c:v>
                </c:pt>
                <c:pt idx="10">
                  <c:v>Tarnobrzeg</c:v>
                </c:pt>
                <c:pt idx="11">
                  <c:v>łańcucki</c:v>
                </c:pt>
                <c:pt idx="12">
                  <c:v>strzyżowski</c:v>
                </c:pt>
                <c:pt idx="13">
                  <c:v>stalowowolski</c:v>
                </c:pt>
                <c:pt idx="14">
                  <c:v>kolbuszowski</c:v>
                </c:pt>
                <c:pt idx="15">
                  <c:v>tarnobrzeski </c:v>
                </c:pt>
                <c:pt idx="16">
                  <c:v>rzeszowski</c:v>
                </c:pt>
                <c:pt idx="17">
                  <c:v>jarosławski</c:v>
                </c:pt>
                <c:pt idx="18">
                  <c:v>sanocki</c:v>
                </c:pt>
                <c:pt idx="19">
                  <c:v>leżajski</c:v>
                </c:pt>
                <c:pt idx="20">
                  <c:v>mielecki</c:v>
                </c:pt>
                <c:pt idx="21">
                  <c:v>jasielski</c:v>
                </c:pt>
                <c:pt idx="22">
                  <c:v>przeworski</c:v>
                </c:pt>
                <c:pt idx="23">
                  <c:v>dębicki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2</c:v>
                </c:pt>
                <c:pt idx="1">
                  <c:v>11</c:v>
                </c:pt>
                <c:pt idx="2">
                  <c:v>15</c:v>
                </c:pt>
                <c:pt idx="3">
                  <c:v>15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27</c:v>
                </c:pt>
                <c:pt idx="8">
                  <c:v>28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37</c:v>
                </c:pt>
                <c:pt idx="14">
                  <c:v>46</c:v>
                </c:pt>
                <c:pt idx="15">
                  <c:v>54</c:v>
                </c:pt>
                <c:pt idx="16">
                  <c:v>63</c:v>
                </c:pt>
                <c:pt idx="17">
                  <c:v>64</c:v>
                </c:pt>
                <c:pt idx="18">
                  <c:v>69</c:v>
                </c:pt>
                <c:pt idx="19">
                  <c:v>92</c:v>
                </c:pt>
                <c:pt idx="20">
                  <c:v>124</c:v>
                </c:pt>
                <c:pt idx="21">
                  <c:v>135</c:v>
                </c:pt>
                <c:pt idx="22">
                  <c:v>162</c:v>
                </c:pt>
                <c:pt idx="23">
                  <c:v>231</c:v>
                </c:pt>
                <c:pt idx="24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leski</c:v>
                </c:pt>
                <c:pt idx="1">
                  <c:v>bieszczadzki</c:v>
                </c:pt>
                <c:pt idx="2">
                  <c:v>ropczycko-sędziszowski</c:v>
                </c:pt>
                <c:pt idx="3">
                  <c:v>lubaczowski</c:v>
                </c:pt>
                <c:pt idx="4">
                  <c:v>łańcucki</c:v>
                </c:pt>
                <c:pt idx="5">
                  <c:v>niżański</c:v>
                </c:pt>
                <c:pt idx="6">
                  <c:v>przemyski</c:v>
                </c:pt>
                <c:pt idx="7">
                  <c:v>tarnobrzeski </c:v>
                </c:pt>
                <c:pt idx="8">
                  <c:v>krośnieński</c:v>
                </c:pt>
                <c:pt idx="9">
                  <c:v>Krosno</c:v>
                </c:pt>
                <c:pt idx="10">
                  <c:v>Przemyśl</c:v>
                </c:pt>
                <c:pt idx="11">
                  <c:v>strzyżowski</c:v>
                </c:pt>
                <c:pt idx="12">
                  <c:v>dębicki</c:v>
                </c:pt>
                <c:pt idx="13">
                  <c:v>leżajski</c:v>
                </c:pt>
                <c:pt idx="14">
                  <c:v>Tarnobrzeg</c:v>
                </c:pt>
                <c:pt idx="15">
                  <c:v>jarosławski</c:v>
                </c:pt>
                <c:pt idx="16">
                  <c:v>stalowowolski</c:v>
                </c:pt>
                <c:pt idx="17">
                  <c:v>kolbuszowski</c:v>
                </c:pt>
                <c:pt idx="18">
                  <c:v>brzozowski</c:v>
                </c:pt>
                <c:pt idx="19">
                  <c:v>sanocki</c:v>
                </c:pt>
                <c:pt idx="20">
                  <c:v>rzeszowski</c:v>
                </c:pt>
                <c:pt idx="21">
                  <c:v>jasielski</c:v>
                </c:pt>
                <c:pt idx="22">
                  <c:v>mielecki</c:v>
                </c:pt>
                <c:pt idx="23">
                  <c:v>Rzeszów</c:v>
                </c:pt>
                <c:pt idx="24">
                  <c:v>przeworski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13</c:v>
                </c:pt>
                <c:pt idx="16">
                  <c:v>15</c:v>
                </c:pt>
                <c:pt idx="17">
                  <c:v>17</c:v>
                </c:pt>
                <c:pt idx="18">
                  <c:v>18</c:v>
                </c:pt>
                <c:pt idx="19">
                  <c:v>22</c:v>
                </c:pt>
                <c:pt idx="20">
                  <c:v>25</c:v>
                </c:pt>
                <c:pt idx="21">
                  <c:v>31</c:v>
                </c:pt>
                <c:pt idx="22">
                  <c:v>34</c:v>
                </c:pt>
                <c:pt idx="23">
                  <c:v>41</c:v>
                </c:pt>
                <c:pt idx="2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przemyski</c:v>
                </c:pt>
                <c:pt idx="1">
                  <c:v>brzozowski</c:v>
                </c:pt>
                <c:pt idx="2">
                  <c:v>bieszczadzki</c:v>
                </c:pt>
                <c:pt idx="3">
                  <c:v>strzyżowski</c:v>
                </c:pt>
                <c:pt idx="4">
                  <c:v>Przemyśl</c:v>
                </c:pt>
                <c:pt idx="5">
                  <c:v>lubaczowski</c:v>
                </c:pt>
                <c:pt idx="6">
                  <c:v>ropczycko-sędziszowski</c:v>
                </c:pt>
                <c:pt idx="7">
                  <c:v>rzeszowski</c:v>
                </c:pt>
                <c:pt idx="8">
                  <c:v>Tarnobrzeg</c:v>
                </c:pt>
                <c:pt idx="9">
                  <c:v>sanocki</c:v>
                </c:pt>
                <c:pt idx="10">
                  <c:v>jarosławski</c:v>
                </c:pt>
                <c:pt idx="11">
                  <c:v>łańcucki</c:v>
                </c:pt>
                <c:pt idx="12">
                  <c:v>stalowowolski</c:v>
                </c:pt>
                <c:pt idx="13">
                  <c:v>leski</c:v>
                </c:pt>
                <c:pt idx="14">
                  <c:v>Krosno</c:v>
                </c:pt>
                <c:pt idx="15">
                  <c:v>kolbuszowski</c:v>
                </c:pt>
                <c:pt idx="16">
                  <c:v>leżajski</c:v>
                </c:pt>
                <c:pt idx="17">
                  <c:v>niżański</c:v>
                </c:pt>
                <c:pt idx="18">
                  <c:v>tarnobrzeski </c:v>
                </c:pt>
                <c:pt idx="19">
                  <c:v>krośnieński</c:v>
                </c:pt>
                <c:pt idx="20">
                  <c:v>dębicki</c:v>
                </c:pt>
                <c:pt idx="21">
                  <c:v>jasielski</c:v>
                </c:pt>
                <c:pt idx="22">
                  <c:v>przeworski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23</c:v>
                </c:pt>
                <c:pt idx="9">
                  <c:v>26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28</c:v>
                </c:pt>
                <c:pt idx="14">
                  <c:v>28</c:v>
                </c:pt>
                <c:pt idx="15">
                  <c:v>35</c:v>
                </c:pt>
                <c:pt idx="16">
                  <c:v>36</c:v>
                </c:pt>
                <c:pt idx="17">
                  <c:v>42</c:v>
                </c:pt>
                <c:pt idx="18">
                  <c:v>43</c:v>
                </c:pt>
                <c:pt idx="19">
                  <c:v>52</c:v>
                </c:pt>
                <c:pt idx="20">
                  <c:v>74</c:v>
                </c:pt>
                <c:pt idx="21">
                  <c:v>105</c:v>
                </c:pt>
                <c:pt idx="22">
                  <c:v>122</c:v>
                </c:pt>
                <c:pt idx="23">
                  <c:v>135</c:v>
                </c:pt>
                <c:pt idx="24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36" t="s">
        <v>27</v>
      </c>
      <c r="C2" s="37" t="s">
        <v>77</v>
      </c>
      <c r="D2" s="38" t="s">
        <v>76</v>
      </c>
      <c r="E2" s="37" t="s">
        <v>33</v>
      </c>
      <c r="F2" s="38" t="s">
        <v>78</v>
      </c>
      <c r="G2" s="37" t="s">
        <v>26</v>
      </c>
    </row>
    <row r="3" spans="2:7" x14ac:dyDescent="0.2">
      <c r="B3" s="5" t="s">
        <v>0</v>
      </c>
      <c r="C3" s="6">
        <v>1130</v>
      </c>
      <c r="D3" s="42">
        <v>1075</v>
      </c>
      <c r="E3" s="6">
        <f>SUM(C3)-D3</f>
        <v>55</v>
      </c>
      <c r="F3" s="42">
        <v>1085</v>
      </c>
      <c r="G3" s="6">
        <f>SUM(C3)-F3</f>
        <v>45</v>
      </c>
    </row>
    <row r="4" spans="2:7" x14ac:dyDescent="0.2">
      <c r="B4" s="5" t="s">
        <v>1</v>
      </c>
      <c r="C4" s="6">
        <v>3780</v>
      </c>
      <c r="D4" s="42">
        <v>3678</v>
      </c>
      <c r="E4" s="6">
        <f t="shared" ref="E4:E27" si="0">SUM(C4)-D4</f>
        <v>102</v>
      </c>
      <c r="F4" s="42">
        <v>3848</v>
      </c>
      <c r="G4" s="6">
        <f t="shared" ref="G4:G27" si="1">SUM(C4)-F4</f>
        <v>-68</v>
      </c>
    </row>
    <row r="5" spans="2:7" x14ac:dyDescent="0.2">
      <c r="B5" s="5" t="s">
        <v>2</v>
      </c>
      <c r="C5" s="6">
        <v>2247</v>
      </c>
      <c r="D5" s="42">
        <v>2236</v>
      </c>
      <c r="E5" s="6">
        <f t="shared" si="0"/>
        <v>11</v>
      </c>
      <c r="F5" s="42">
        <v>2433</v>
      </c>
      <c r="G5" s="6">
        <f t="shared" si="1"/>
        <v>-186</v>
      </c>
    </row>
    <row r="6" spans="2:7" x14ac:dyDescent="0.2">
      <c r="B6" s="5" t="s">
        <v>3</v>
      </c>
      <c r="C6" s="6">
        <v>4489</v>
      </c>
      <c r="D6" s="42">
        <v>4286</v>
      </c>
      <c r="E6" s="6">
        <f t="shared" si="0"/>
        <v>203</v>
      </c>
      <c r="F6" s="42">
        <v>4299</v>
      </c>
      <c r="G6" s="6">
        <f t="shared" si="1"/>
        <v>190</v>
      </c>
    </row>
    <row r="7" spans="2:7" x14ac:dyDescent="0.2">
      <c r="B7" s="5" t="s">
        <v>4</v>
      </c>
      <c r="C7" s="6">
        <v>4919</v>
      </c>
      <c r="D7" s="42">
        <v>4829</v>
      </c>
      <c r="E7" s="6">
        <f t="shared" si="0"/>
        <v>90</v>
      </c>
      <c r="F7" s="42">
        <v>5107</v>
      </c>
      <c r="G7" s="6">
        <f t="shared" si="1"/>
        <v>-188</v>
      </c>
    </row>
    <row r="8" spans="2:7" x14ac:dyDescent="0.2">
      <c r="B8" s="5" t="s">
        <v>5</v>
      </c>
      <c r="C8" s="6">
        <v>1536</v>
      </c>
      <c r="D8" s="42">
        <v>1520</v>
      </c>
      <c r="E8" s="6">
        <f t="shared" si="0"/>
        <v>16</v>
      </c>
      <c r="F8" s="42">
        <v>1494</v>
      </c>
      <c r="G8" s="6">
        <f t="shared" si="1"/>
        <v>42</v>
      </c>
    </row>
    <row r="9" spans="2:7" x14ac:dyDescent="0.2">
      <c r="B9" s="9" t="s">
        <v>6</v>
      </c>
      <c r="C9" s="6">
        <v>2356</v>
      </c>
      <c r="D9" s="42">
        <v>2272</v>
      </c>
      <c r="E9" s="6">
        <f t="shared" si="0"/>
        <v>84</v>
      </c>
      <c r="F9" s="42">
        <v>2221</v>
      </c>
      <c r="G9" s="6">
        <f t="shared" si="1"/>
        <v>135</v>
      </c>
    </row>
    <row r="10" spans="2:7" x14ac:dyDescent="0.2">
      <c r="B10" s="5" t="s">
        <v>7</v>
      </c>
      <c r="C10" s="6">
        <v>1726</v>
      </c>
      <c r="D10" s="42">
        <v>1673</v>
      </c>
      <c r="E10" s="6">
        <f t="shared" si="0"/>
        <v>53</v>
      </c>
      <c r="F10" s="42">
        <v>1716</v>
      </c>
      <c r="G10" s="6">
        <f t="shared" si="1"/>
        <v>10</v>
      </c>
    </row>
    <row r="11" spans="2:7" x14ac:dyDescent="0.2">
      <c r="B11" s="5" t="s">
        <v>8</v>
      </c>
      <c r="C11" s="6">
        <v>2975</v>
      </c>
      <c r="D11" s="42">
        <v>2871</v>
      </c>
      <c r="E11" s="6">
        <f t="shared" si="0"/>
        <v>104</v>
      </c>
      <c r="F11" s="42">
        <v>3105</v>
      </c>
      <c r="G11" s="6">
        <f t="shared" si="1"/>
        <v>-130</v>
      </c>
    </row>
    <row r="12" spans="2:7" x14ac:dyDescent="0.2">
      <c r="B12" s="5" t="s">
        <v>9</v>
      </c>
      <c r="C12" s="6">
        <v>1704</v>
      </c>
      <c r="D12" s="42">
        <v>1682</v>
      </c>
      <c r="E12" s="6">
        <f t="shared" si="0"/>
        <v>22</v>
      </c>
      <c r="F12" s="42">
        <v>1867</v>
      </c>
      <c r="G12" s="6">
        <f t="shared" si="1"/>
        <v>-163</v>
      </c>
    </row>
    <row r="13" spans="2:7" x14ac:dyDescent="0.2">
      <c r="B13" s="5" t="s">
        <v>10</v>
      </c>
      <c r="C13" s="6">
        <v>2519</v>
      </c>
      <c r="D13" s="42">
        <v>2412</v>
      </c>
      <c r="E13" s="6">
        <f t="shared" si="0"/>
        <v>107</v>
      </c>
      <c r="F13" s="42">
        <v>2547</v>
      </c>
      <c r="G13" s="6">
        <f t="shared" si="1"/>
        <v>-28</v>
      </c>
    </row>
    <row r="14" spans="2:7" x14ac:dyDescent="0.2">
      <c r="B14" s="5" t="s">
        <v>11</v>
      </c>
      <c r="C14" s="6">
        <v>3075</v>
      </c>
      <c r="D14" s="42">
        <v>3038</v>
      </c>
      <c r="E14" s="6">
        <f t="shared" si="0"/>
        <v>37</v>
      </c>
      <c r="F14" s="42">
        <v>3017</v>
      </c>
      <c r="G14" s="6">
        <f t="shared" si="1"/>
        <v>58</v>
      </c>
    </row>
    <row r="15" spans="2:7" x14ac:dyDescent="0.2">
      <c r="B15" s="5" t="s">
        <v>12</v>
      </c>
      <c r="C15" s="6">
        <v>2929</v>
      </c>
      <c r="D15" s="42">
        <v>2842</v>
      </c>
      <c r="E15" s="6">
        <f t="shared" si="0"/>
        <v>87</v>
      </c>
      <c r="F15" s="42">
        <v>3043</v>
      </c>
      <c r="G15" s="6">
        <f t="shared" si="1"/>
        <v>-114</v>
      </c>
    </row>
    <row r="16" spans="2:7" x14ac:dyDescent="0.2">
      <c r="B16" s="5" t="s">
        <v>13</v>
      </c>
      <c r="C16" s="6">
        <v>2958</v>
      </c>
      <c r="D16" s="42">
        <v>2810</v>
      </c>
      <c r="E16" s="6">
        <f t="shared" si="0"/>
        <v>148</v>
      </c>
      <c r="F16" s="42">
        <v>2963</v>
      </c>
      <c r="G16" s="6">
        <f t="shared" si="1"/>
        <v>-5</v>
      </c>
    </row>
    <row r="17" spans="2:7" x14ac:dyDescent="0.2">
      <c r="B17" s="5" t="s">
        <v>14</v>
      </c>
      <c r="C17" s="6">
        <v>3337</v>
      </c>
      <c r="D17" s="42">
        <v>3280</v>
      </c>
      <c r="E17" s="6">
        <f t="shared" si="0"/>
        <v>57</v>
      </c>
      <c r="F17" s="42">
        <v>3397</v>
      </c>
      <c r="G17" s="6">
        <f t="shared" si="1"/>
        <v>-60</v>
      </c>
    </row>
    <row r="18" spans="2:7" x14ac:dyDescent="0.2">
      <c r="B18" s="5" t="s">
        <v>15</v>
      </c>
      <c r="C18" s="6">
        <v>2673</v>
      </c>
      <c r="D18" s="42">
        <v>2581</v>
      </c>
      <c r="E18" s="6">
        <f t="shared" si="0"/>
        <v>92</v>
      </c>
      <c r="F18" s="42">
        <v>2551</v>
      </c>
      <c r="G18" s="6">
        <f t="shared" si="1"/>
        <v>122</v>
      </c>
    </row>
    <row r="19" spans="2:7" x14ac:dyDescent="0.2">
      <c r="B19" s="5" t="s">
        <v>16</v>
      </c>
      <c r="C19" s="6">
        <v>4540</v>
      </c>
      <c r="D19" s="42">
        <v>4473</v>
      </c>
      <c r="E19" s="6">
        <f t="shared" si="0"/>
        <v>67</v>
      </c>
      <c r="F19" s="42">
        <v>4670</v>
      </c>
      <c r="G19" s="6">
        <f t="shared" si="1"/>
        <v>-130</v>
      </c>
    </row>
    <row r="20" spans="2:7" x14ac:dyDescent="0.2">
      <c r="B20" s="5" t="s">
        <v>17</v>
      </c>
      <c r="C20" s="6">
        <v>2881</v>
      </c>
      <c r="D20" s="42">
        <v>2789</v>
      </c>
      <c r="E20" s="6">
        <f t="shared" si="0"/>
        <v>92</v>
      </c>
      <c r="F20" s="42">
        <v>2737</v>
      </c>
      <c r="G20" s="6">
        <f t="shared" si="1"/>
        <v>144</v>
      </c>
    </row>
    <row r="21" spans="2:7" x14ac:dyDescent="0.2">
      <c r="B21" s="5" t="s">
        <v>18</v>
      </c>
      <c r="C21" s="6">
        <v>2098</v>
      </c>
      <c r="D21" s="42">
        <v>2045</v>
      </c>
      <c r="E21" s="6">
        <f t="shared" si="0"/>
        <v>53</v>
      </c>
      <c r="F21" s="42">
        <v>1943</v>
      </c>
      <c r="G21" s="6">
        <f t="shared" si="1"/>
        <v>155</v>
      </c>
    </row>
    <row r="22" spans="2:7" x14ac:dyDescent="0.2">
      <c r="B22" s="5" t="s">
        <v>19</v>
      </c>
      <c r="C22" s="6">
        <v>3113</v>
      </c>
      <c r="D22" s="42">
        <v>2964</v>
      </c>
      <c r="E22" s="6">
        <f t="shared" si="0"/>
        <v>149</v>
      </c>
      <c r="F22" s="42">
        <v>3125</v>
      </c>
      <c r="G22" s="6">
        <f t="shared" si="1"/>
        <v>-12</v>
      </c>
    </row>
    <row r="23" spans="2:7" x14ac:dyDescent="0.2">
      <c r="B23" s="5" t="s">
        <v>20</v>
      </c>
      <c r="C23" s="6">
        <v>1243</v>
      </c>
      <c r="D23" s="42">
        <v>1228</v>
      </c>
      <c r="E23" s="6">
        <f t="shared" si="0"/>
        <v>15</v>
      </c>
      <c r="F23" s="42">
        <v>1251</v>
      </c>
      <c r="G23" s="6">
        <f t="shared" si="1"/>
        <v>-8</v>
      </c>
    </row>
    <row r="24" spans="2:7" x14ac:dyDescent="0.2">
      <c r="B24" s="5" t="s">
        <v>21</v>
      </c>
      <c r="C24" s="6">
        <v>814</v>
      </c>
      <c r="D24" s="42">
        <v>789</v>
      </c>
      <c r="E24" s="6">
        <f t="shared" si="0"/>
        <v>25</v>
      </c>
      <c r="F24" s="42">
        <v>790</v>
      </c>
      <c r="G24" s="6">
        <f t="shared" si="1"/>
        <v>24</v>
      </c>
    </row>
    <row r="25" spans="2:7" x14ac:dyDescent="0.2">
      <c r="B25" s="5" t="s">
        <v>22</v>
      </c>
      <c r="C25" s="6">
        <v>2338</v>
      </c>
      <c r="D25" s="42">
        <v>2295</v>
      </c>
      <c r="E25" s="6">
        <f t="shared" si="0"/>
        <v>43</v>
      </c>
      <c r="F25" s="42">
        <v>2346</v>
      </c>
      <c r="G25" s="6">
        <f t="shared" si="1"/>
        <v>-8</v>
      </c>
    </row>
    <row r="26" spans="2:7" x14ac:dyDescent="0.2">
      <c r="B26" s="5" t="s">
        <v>23</v>
      </c>
      <c r="C26" s="6">
        <v>4957</v>
      </c>
      <c r="D26" s="42">
        <v>4941</v>
      </c>
      <c r="E26" s="6">
        <f t="shared" si="0"/>
        <v>16</v>
      </c>
      <c r="F26" s="42">
        <v>5033</v>
      </c>
      <c r="G26" s="6">
        <f t="shared" si="1"/>
        <v>-76</v>
      </c>
    </row>
    <row r="27" spans="2:7" x14ac:dyDescent="0.2">
      <c r="B27" s="5" t="s">
        <v>24</v>
      </c>
      <c r="C27" s="6">
        <v>999</v>
      </c>
      <c r="D27" s="42">
        <v>1015</v>
      </c>
      <c r="E27" s="6">
        <f t="shared" si="0"/>
        <v>-16</v>
      </c>
      <c r="F27" s="42">
        <v>1065</v>
      </c>
      <c r="G27" s="6">
        <f t="shared" si="1"/>
        <v>-66</v>
      </c>
    </row>
    <row r="28" spans="2:7" ht="15" x14ac:dyDescent="0.25">
      <c r="B28" s="39" t="s">
        <v>25</v>
      </c>
      <c r="C28" s="40">
        <f>SUM(C3:C27)</f>
        <v>67336</v>
      </c>
      <c r="D28" s="41">
        <f>SUM(D3:D27)</f>
        <v>65624</v>
      </c>
      <c r="E28" s="40">
        <f>SUM(C28)-D28</f>
        <v>1712</v>
      </c>
      <c r="F28" s="41">
        <v>65958</v>
      </c>
      <c r="G28" s="40">
        <f>SUM(C28)-F28</f>
        <v>1378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G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570312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140625" style="3" customWidth="1"/>
    <col min="26" max="26" width="3.28515625" style="3" customWidth="1"/>
    <col min="27" max="27" width="6.5703125" style="3" customWidth="1"/>
    <col min="28" max="28" width="16.140625" style="3" customWidth="1"/>
    <col min="29" max="29" width="14.5703125" style="3" customWidth="1"/>
    <col min="30" max="30" width="2.7109375" style="3" customWidth="1"/>
    <col min="31" max="31" width="7" style="3" customWidth="1"/>
    <col min="32" max="32" width="15.28515625" style="3" customWidth="1"/>
    <col min="33" max="33" width="14.140625" style="3" customWidth="1"/>
    <col min="34" max="16384" width="9.140625" style="3"/>
  </cols>
  <sheetData>
    <row r="1" spans="2:33" ht="32.25" customHeight="1" x14ac:dyDescent="0.2">
      <c r="B1" s="2" t="s">
        <v>32</v>
      </c>
      <c r="V1" s="169" t="s">
        <v>66</v>
      </c>
      <c r="W1" s="169"/>
      <c r="X1" s="169"/>
      <c r="Y1" s="169"/>
      <c r="AA1" s="2" t="s">
        <v>67</v>
      </c>
    </row>
    <row r="2" spans="2:33" ht="15" x14ac:dyDescent="0.2">
      <c r="C2" s="20"/>
      <c r="D2" s="21"/>
      <c r="W2" s="20"/>
      <c r="X2" s="21"/>
      <c r="Y2" s="21"/>
      <c r="AB2" s="20"/>
      <c r="AC2" s="21"/>
    </row>
    <row r="3" spans="2:33" ht="69" customHeight="1" x14ac:dyDescent="0.2">
      <c r="B3" s="43" t="s">
        <v>42</v>
      </c>
      <c r="C3" s="36" t="str">
        <f>T('1bezr.'!B2)</f>
        <v>powiaty</v>
      </c>
      <c r="D3" s="37" t="str">
        <f>T('1bezr.'!C2)</f>
        <v>liczba bezrobotnych ogółem stan na 31-12-'24 r.</v>
      </c>
      <c r="E3" s="38" t="str">
        <f>T('1bezr.'!D2)</f>
        <v>liczba bezrobotnych ogółem stan na 30-11-'24 r.</v>
      </c>
      <c r="F3" s="37" t="str">
        <f>T('1bezr.'!E2)</f>
        <v>wzrost/spadek do miesiąca poprzedniego</v>
      </c>
      <c r="G3" s="38" t="str">
        <f>T('1bezr.'!F2)</f>
        <v>liczba bezrobotnych ogółem stan na 31-12-'23 r.</v>
      </c>
      <c r="H3" s="37" t="str">
        <f>T('1bezr.'!G2)</f>
        <v>wzrost/spadek do analogicznego okresu ubr.</v>
      </c>
      <c r="V3" s="43" t="s">
        <v>42</v>
      </c>
      <c r="W3" s="36" t="str">
        <f>T('1bezr.'!B2)</f>
        <v>powiaty</v>
      </c>
      <c r="X3" s="37" t="str">
        <f>T('1bezr.'!E2)</f>
        <v>wzrost/spadek do miesiąca poprzedniego</v>
      </c>
      <c r="Y3" s="131"/>
      <c r="AA3" s="43" t="s">
        <v>42</v>
      </c>
      <c r="AB3" s="36" t="str">
        <f>T('1bezr.'!B2)</f>
        <v>powiaty</v>
      </c>
      <c r="AC3" s="36" t="str">
        <f>T('1bezr.'!C2)</f>
        <v>liczba bezrobotnych ogółem stan na 31-12-'24 r.</v>
      </c>
      <c r="AE3" s="43" t="s">
        <v>42</v>
      </c>
      <c r="AF3" s="36" t="str">
        <f>T('1bezr.'!B2)</f>
        <v>powiaty</v>
      </c>
      <c r="AG3" s="36" t="str">
        <f>T('1bezr.'!C2)</f>
        <v>liczba bezrobotnych ogółem stan na 31-12-'24 r.</v>
      </c>
    </row>
    <row r="4" spans="2:33" x14ac:dyDescent="0.2">
      <c r="B4" s="6">
        <f>RANK('1bezr.'!C3,'1bezr.'!$C$3:'1bezr.'!$C$28,1)+COUNTIF('1bezr.'!$C$3:'1bezr.'!C3,'1bezr.'!C3)-1</f>
        <v>3</v>
      </c>
      <c r="C4" s="5" t="str">
        <f>INDEX('1bezr.'!B3:G28,MATCH(1,B4:B29,0),1)</f>
        <v>Krosno</v>
      </c>
      <c r="D4" s="24">
        <f>INDEX('1bezr.'!B3:G28,MATCH(1,B4:B29,0),2)</f>
        <v>814</v>
      </c>
      <c r="E4" s="42">
        <f>INDEX('1bezr.'!B3:G28,MATCH(1,B4:B29,0),3)</f>
        <v>789</v>
      </c>
      <c r="F4" s="6">
        <f>INDEX('1bezr.'!B3:G28,MATCH(1,B4:B29,0),4)</f>
        <v>25</v>
      </c>
      <c r="G4" s="42">
        <f>INDEX('1bezr.'!B3:G28,MATCH(1,B4:B29,0),5)</f>
        <v>790</v>
      </c>
      <c r="H4" s="6">
        <f>INDEX('1bezr.'!B3:G28,MATCH(1,B4:B29,0),6)</f>
        <v>24</v>
      </c>
      <c r="V4" s="165">
        <f>RANK('1bezr.'!E3,'1bezr.'!$E$3:'1bezr.'!$E$28,1)+COUNTIF('1bezr.'!$E$3:'1bezr.'!E3,'1bezr.'!E3)-1</f>
        <v>12</v>
      </c>
      <c r="W4" s="168" t="str">
        <f>INDEX('1bezr.'!B3:G28,MATCH(1,V4:V29,0),1)</f>
        <v>Tarnobrzeg</v>
      </c>
      <c r="X4" s="167">
        <f>INDEX('1bezr.'!E3:G28,MATCH(1,V4:V29,0),1)</f>
        <v>-16</v>
      </c>
      <c r="Y4" s="166">
        <v>1</v>
      </c>
      <c r="Z4" s="2"/>
      <c r="AA4" s="6">
        <f>RANK('1bezr.'!C3,'1bezr.'!$C$3:'1bezr.'!$C$28,1)+COUNTIF('1bezr.'!$C$3:'1bezr.'!C3,'1bezr.'!C3)-1</f>
        <v>3</v>
      </c>
      <c r="AB4" s="130" t="str">
        <f>INDEX('1bezr.'!B3:G28,MATCH(25,AA4:AA29,0),1)</f>
        <v>Rzeszów</v>
      </c>
      <c r="AC4" s="6">
        <f>INDEX('1bezr.'!B3:G28,MATCH(25,AA4:AA29,0),2)</f>
        <v>4957</v>
      </c>
      <c r="AE4" s="6">
        <f>RANK('1bezr.'!C3,'1bezr.'!$C$3:'1bezr.'!$C$28,1)+COUNTIF('1bezr.'!$C$3:'1bezr.'!C3,'1bezr.'!C3)-1</f>
        <v>3</v>
      </c>
      <c r="AF4" s="130" t="str">
        <f>INDEX('1bezr.'!B3:G28,MATCH(1,AE4:AE29,0),1)</f>
        <v>Krosno</v>
      </c>
      <c r="AG4" s="6">
        <f>INDEX('1bezr.'!B3:K28,MATCH(1,AE4:AE29,0),2)</f>
        <v>814</v>
      </c>
    </row>
    <row r="5" spans="2:33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Tarnobrzeg</v>
      </c>
      <c r="D5" s="6">
        <f>INDEX('1bezr.'!B3:G28,MATCH(2,B4:B29,0),2)</f>
        <v>999</v>
      </c>
      <c r="E5" s="42">
        <f>INDEX('1bezr.'!B3:G28,MATCH(2,B4:B29,0),3)</f>
        <v>1015</v>
      </c>
      <c r="F5" s="6">
        <f>INDEX('1bezr.'!B3:G28,MATCH(2,B4:B29,0),4)</f>
        <v>-16</v>
      </c>
      <c r="G5" s="42">
        <f>INDEX('1bezr.'!B3:G28,MATCH(2,B4:B29,0),5)</f>
        <v>1065</v>
      </c>
      <c r="H5" s="6">
        <f>INDEX('1bezr.'!B3:G28,MATCH(2,B4:B29,0),6)</f>
        <v>-66</v>
      </c>
      <c r="V5" s="6">
        <f>RANK('1bezr.'!E4,'1bezr.'!$E$3:'1bezr.'!$E$28,1)+COUNTIF('1bezr.'!$E$3:'1bezr.'!E4,'1bezr.'!E4)-1</f>
        <v>20</v>
      </c>
      <c r="W5" s="134" t="str">
        <f>INDEX('1bezr.'!B3:G28,MATCH(2,V4:V29,0),1)</f>
        <v>dębicki</v>
      </c>
      <c r="X5" s="6">
        <f>INDEX('1bezr.'!E3:G28,MATCH(2,V4:V29,0),1)</f>
        <v>11</v>
      </c>
      <c r="Y5" s="145">
        <v>1</v>
      </c>
      <c r="Z5" s="2"/>
      <c r="AA5" s="6">
        <f>RANK('1bezr.'!C4,'1bezr.'!$C$3:'1bezr.'!$C$28,1)+COUNTIF('1bezr.'!$C$3:'1bezr.'!C4,'1bezr.'!C4)-1</f>
        <v>21</v>
      </c>
      <c r="AB5" s="130" t="str">
        <f>INDEX('1bezr.'!B3:G28,MATCH(24,AA4:AA29,0),1)</f>
        <v>jasielski</v>
      </c>
      <c r="AC5" s="6">
        <f>INDEX('1bezr.'!B3:K28,MATCH(24,AA4:AA29,0),2)</f>
        <v>4919</v>
      </c>
      <c r="AE5" s="6">
        <f>RANK('1bezr.'!C4,'1bezr.'!$C$3:'1bezr.'!$C$28,1)+COUNTIF('1bezr.'!$C$3:'1bezr.'!C4,'1bezr.'!C4)-1</f>
        <v>21</v>
      </c>
      <c r="AF5" s="130" t="str">
        <f>INDEX('1bezr.'!B3:G28,MATCH(2,AE4:AE29,0),1)</f>
        <v>Tarnobrzeg</v>
      </c>
      <c r="AG5" s="6">
        <f>INDEX('1bezr.'!B3:K28,MATCH(2,AE4:AE29,0),2)</f>
        <v>999</v>
      </c>
    </row>
    <row r="6" spans="2:33" x14ac:dyDescent="0.2">
      <c r="B6" s="6">
        <f>RANK('1bezr.'!C5,'1bezr.'!$C$3:'1bezr.'!$C$28,1)+COUNTIF('1bezr.'!$C$3:'1bezr.'!C5,'1bezr.'!C5)-1</f>
        <v>9</v>
      </c>
      <c r="C6" s="5" t="str">
        <f>INDEX('1bezr.'!B3:G28,MATCH(3,B4:B29,0),1)</f>
        <v>bieszczadzki</v>
      </c>
      <c r="D6" s="6">
        <f>INDEX('1bezr.'!B3:G28,MATCH(3,B4:B29,0),2)</f>
        <v>1130</v>
      </c>
      <c r="E6" s="42">
        <f>INDEX('1bezr.'!B3:G28,MATCH(3,B4:B29,0),3)</f>
        <v>1075</v>
      </c>
      <c r="F6" s="6">
        <f>INDEX('1bezr.'!B3:G28,MATCH(3,B4:B29,0),4)</f>
        <v>55</v>
      </c>
      <c r="G6" s="42">
        <f>INDEX('1bezr.'!B3:G28,MATCH(3,B4:B29,0),5)</f>
        <v>1085</v>
      </c>
      <c r="H6" s="6">
        <f>INDEX('1bezr.'!B3:G28,MATCH(3,B4:B29,0),6)</f>
        <v>45</v>
      </c>
      <c r="V6" s="6">
        <f>RANK('1bezr.'!E5,'1bezr.'!$E$3:'1bezr.'!$E$28,1)+COUNTIF('1bezr.'!$E$3:'1bezr.'!E5,'1bezr.'!E5)-1</f>
        <v>2</v>
      </c>
      <c r="W6" s="146" t="str">
        <f>INDEX('1bezr.'!B3:G28,MATCH(3,V4:V29,0),1)</f>
        <v xml:space="preserve">tarnobrzeski </v>
      </c>
      <c r="X6" s="6">
        <f>INDEX('1bezr.'!E3:G28,MATCH(3,V4:V29,0),1)</f>
        <v>15</v>
      </c>
      <c r="Y6" s="145">
        <v>2</v>
      </c>
      <c r="Z6" s="2"/>
      <c r="AA6" s="6">
        <f>RANK('1bezr.'!C5,'1bezr.'!$C$3:'1bezr.'!$C$28,1)+COUNTIF('1bezr.'!$C$3:'1bezr.'!C5,'1bezr.'!C5)-1</f>
        <v>9</v>
      </c>
      <c r="AB6" s="130" t="str">
        <f>INDEX('1bezr.'!B3:G28,MATCH(23,AA4:AA29,0),1)</f>
        <v>rzeszowski</v>
      </c>
      <c r="AC6" s="6">
        <f>INDEX('1bezr.'!B3:K28,MATCH(23,AA4:AA29,0),2)</f>
        <v>4540</v>
      </c>
      <c r="AE6" s="6">
        <f>RANK('1bezr.'!C5,'1bezr.'!$C$3:'1bezr.'!$C$28,1)+COUNTIF('1bezr.'!$C$3:'1bezr.'!C5,'1bezr.'!C5)-1</f>
        <v>9</v>
      </c>
      <c r="AF6" s="130" t="str">
        <f>INDEX('1bezr.'!B3:G28,MATCH(3,AE4:AE29,0),1)</f>
        <v>bieszczadzki</v>
      </c>
      <c r="AG6" s="6">
        <f>INDEX('1bezr.'!B3:K28,MATCH(3,AE4:AE29,0),2)</f>
        <v>1130</v>
      </c>
    </row>
    <row r="7" spans="2:33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1243</v>
      </c>
      <c r="E7" s="42">
        <f>INDEX('1bezr.'!B3:G28,MATCH(4,B4:B29,0),3)</f>
        <v>1228</v>
      </c>
      <c r="F7" s="6">
        <f>INDEX('1bezr.'!B3:G28,MATCH(4,B4:B29,0),4)</f>
        <v>15</v>
      </c>
      <c r="G7" s="42">
        <f>INDEX('1bezr.'!B3:G28,MATCH(4,B4:B29,0),5)</f>
        <v>1251</v>
      </c>
      <c r="H7" s="6">
        <f>INDEX('1bezr.'!B3:G28,MATCH(4,B4:B29,0),6)</f>
        <v>-8</v>
      </c>
      <c r="V7" s="6">
        <f>RANK('1bezr.'!E6,'1bezr.'!$E$3:'1bezr.'!$E$28,1)+COUNTIF('1bezr.'!$E$3:'1bezr.'!E6,'1bezr.'!E6)-1</f>
        <v>25</v>
      </c>
      <c r="W7" s="146" t="str">
        <f>INDEX('1bezr.'!B3:G28,MATCH(4,V4:V29,0),1)</f>
        <v>kolbuszowski</v>
      </c>
      <c r="X7" s="6">
        <f>INDEX('1bezr.'!E3:G28,MATCH(4,V4:V29,0),1)</f>
        <v>16</v>
      </c>
      <c r="Y7" s="145">
        <v>3</v>
      </c>
      <c r="Z7" s="2"/>
      <c r="AA7" s="6">
        <f>RANK('1bezr.'!C6,'1bezr.'!$C$3:'1bezr.'!$C$28,1)+COUNTIF('1bezr.'!$C$3:'1bezr.'!C6,'1bezr.'!C6)-1</f>
        <v>22</v>
      </c>
      <c r="AB7" s="130" t="str">
        <f>INDEX('1bezr.'!B3:G28,MATCH(22,AA4:AA29,0),1)</f>
        <v>jarosławski</v>
      </c>
      <c r="AC7" s="6">
        <f>INDEX('1bezr.'!B3:K28,MATCH(22,AA4:AA29,0),2)</f>
        <v>4489</v>
      </c>
      <c r="AE7" s="6">
        <f>RANK('1bezr.'!C6,'1bezr.'!$C$3:'1bezr.'!$C$28,1)+COUNTIF('1bezr.'!$C$3:'1bezr.'!C6,'1bezr.'!C6)-1</f>
        <v>22</v>
      </c>
      <c r="AF7" s="130" t="str">
        <f>INDEX('1bezr.'!B3:G28,MATCH(4,AE4:AE29,0),1)</f>
        <v xml:space="preserve">tarnobrzeski </v>
      </c>
      <c r="AG7" s="6">
        <f>INDEX('1bezr.'!B3:K28,MATCH(4,AE4:AE29,0),2)</f>
        <v>1243</v>
      </c>
    </row>
    <row r="8" spans="2:33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kolbuszowski</v>
      </c>
      <c r="D8" s="6">
        <f>INDEX('1bezr.'!B3:G28,MATCH(5,B4:B29,0),2)</f>
        <v>1536</v>
      </c>
      <c r="E8" s="42">
        <f>INDEX('1bezr.'!B3:G28,MATCH(5,B4:B29,0),3)</f>
        <v>1520</v>
      </c>
      <c r="F8" s="6">
        <f>INDEX('1bezr.'!B3:G28,MATCH(5,B4:B29,0),4)</f>
        <v>16</v>
      </c>
      <c r="G8" s="42">
        <f>INDEX('1bezr.'!B3:G28,MATCH(5,B4:B29,0),5)</f>
        <v>1494</v>
      </c>
      <c r="H8" s="6">
        <f>INDEX('1bezr.'!B3:G28,MATCH(5,B4:B29,0),6)</f>
        <v>42</v>
      </c>
      <c r="V8" s="6">
        <f>RANK('1bezr.'!E7,'1bezr.'!$E$3:'1bezr.'!$E$28,1)+COUNTIF('1bezr.'!$E$3:'1bezr.'!E7,'1bezr.'!E7)-1</f>
        <v>17</v>
      </c>
      <c r="W8" s="146" t="str">
        <f>INDEX('1bezr.'!B3:G28,MATCH(5,V4:V29,0),1)</f>
        <v>Rzeszów</v>
      </c>
      <c r="X8" s="6">
        <f>INDEX('1bezr.'!E3:G28,MATCH(5,V4:V29,0),1)</f>
        <v>16</v>
      </c>
      <c r="Y8" s="145">
        <v>4</v>
      </c>
      <c r="Z8" s="2"/>
      <c r="AA8" s="6">
        <f>RANK('1bezr.'!C7,'1bezr.'!$C$3:'1bezr.'!$C$28,1)+COUNTIF('1bezr.'!$C$3:'1bezr.'!C7,'1bezr.'!C7)-1</f>
        <v>24</v>
      </c>
      <c r="AB8" s="130" t="str">
        <f>INDEX('1bezr.'!B3:G28,MATCH(21,AA4:AA29,0),1)</f>
        <v>brzozowski</v>
      </c>
      <c r="AC8" s="6">
        <f>INDEX('1bezr.'!B3:K28,MATCH(21,AA4:AA29,0),2)</f>
        <v>3780</v>
      </c>
      <c r="AE8" s="6">
        <f>RANK('1bezr.'!C7,'1bezr.'!$C$3:'1bezr.'!$C$28,1)+COUNTIF('1bezr.'!$C$3:'1bezr.'!C7,'1bezr.'!C7)-1</f>
        <v>24</v>
      </c>
      <c r="AF8" s="130" t="str">
        <f>INDEX('1bezr.'!B3:G28,MATCH(5,AE4:AE29,0),1)</f>
        <v>kolbuszowski</v>
      </c>
      <c r="AG8" s="6">
        <f>INDEX('1bezr.'!B3:K28,MATCH(5,AE4:AE29,0),2)</f>
        <v>1536</v>
      </c>
    </row>
    <row r="9" spans="2:33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lubaczowski</v>
      </c>
      <c r="D9" s="6">
        <f>INDEX('1bezr.'!B3:G28,MATCH(6,B4:B29,0),2)</f>
        <v>1704</v>
      </c>
      <c r="E9" s="42">
        <f>INDEX('1bezr.'!B3:G28,MATCH(6,B4:B29,0),3)</f>
        <v>1682</v>
      </c>
      <c r="F9" s="6">
        <f>INDEX('1bezr.'!B3:G28,MATCH(6,B4:B29,0),4)</f>
        <v>22</v>
      </c>
      <c r="G9" s="42">
        <f>INDEX('1bezr.'!B3:G28,MATCH(6,B4:B29,0),5)</f>
        <v>1867</v>
      </c>
      <c r="H9" s="6">
        <f>INDEX('1bezr.'!B3:G28,MATCH(6,B4:B29,0),6)</f>
        <v>-163</v>
      </c>
      <c r="V9" s="6">
        <f>RANK('1bezr.'!E8,'1bezr.'!$E$3:'1bezr.'!$E$28,1)+COUNTIF('1bezr.'!$E$3:'1bezr.'!E8,'1bezr.'!E8)-1</f>
        <v>4</v>
      </c>
      <c r="W9" s="146" t="str">
        <f>INDEX('1bezr.'!B3:G28,MATCH(6,V4:V29,0),1)</f>
        <v>lubaczowski</v>
      </c>
      <c r="X9" s="6">
        <f>INDEX('1bezr.'!E3:G28,MATCH(6,V4:V29,0),1)</f>
        <v>22</v>
      </c>
      <c r="Y9" s="145">
        <v>5</v>
      </c>
      <c r="Z9" s="2"/>
      <c r="AA9" s="6">
        <f>RANK('1bezr.'!C8,'1bezr.'!$C$3:'1bezr.'!$C$28,1)+COUNTIF('1bezr.'!$C$3:'1bezr.'!C8,'1bezr.'!C8)-1</f>
        <v>5</v>
      </c>
      <c r="AB9" s="130" t="str">
        <f>INDEX('1bezr.'!B3:G28,MATCH(20,AA4:AA29,0),1)</f>
        <v>przeworski</v>
      </c>
      <c r="AC9" s="6">
        <f>INDEX('1bezr.'!B3:K28,MATCH(20,AA4:AA29,0),2)</f>
        <v>3337</v>
      </c>
      <c r="AE9" s="6">
        <f>RANK('1bezr.'!C8,'1bezr.'!$C$3:'1bezr.'!$C$28,1)+COUNTIF('1bezr.'!$C$3:'1bezr.'!C8,'1bezr.'!C8)-1</f>
        <v>5</v>
      </c>
      <c r="AF9" s="130" t="str">
        <f>INDEX('1bezr.'!B3:G28,MATCH(6,AE4:AE29,0),1)</f>
        <v>lubaczowski</v>
      </c>
      <c r="AG9" s="6">
        <f>INDEX('1bezr.'!B3:K28,MATCH(6,AE4:AE29,0),2)</f>
        <v>1704</v>
      </c>
    </row>
    <row r="10" spans="2:33" x14ac:dyDescent="0.2">
      <c r="B10" s="6">
        <f>RANK('1bezr.'!C9,'1bezr.'!$C$3:'1bezr.'!$C$28,1)+COUNTIF('1bezr.'!$C$3:'1bezr.'!C9,'1bezr.'!C9)-1</f>
        <v>11</v>
      </c>
      <c r="C10" s="9" t="str">
        <f>INDEX('1bezr.'!B3:G28,MATCH(7,B4:B29,0),1)</f>
        <v>leski</v>
      </c>
      <c r="D10" s="6">
        <f>INDEX('1bezr.'!B3:G28,MATCH(7,B4:B29,0),2)</f>
        <v>1726</v>
      </c>
      <c r="E10" s="42">
        <f>INDEX('1bezr.'!B3:G28,MATCH(7,B4:B29,0),3)</f>
        <v>1673</v>
      </c>
      <c r="F10" s="6">
        <f>INDEX('1bezr.'!B3:G28,MATCH(7,B4:B29,0),4)</f>
        <v>53</v>
      </c>
      <c r="G10" s="42">
        <f>INDEX('1bezr.'!B3:G28,MATCH(7,B4:B29,0),5)</f>
        <v>1716</v>
      </c>
      <c r="H10" s="6">
        <f>INDEX('1bezr.'!B3:G28,MATCH(7,B4:B29,0),6)</f>
        <v>10</v>
      </c>
      <c r="V10" s="6">
        <f>RANK('1bezr.'!E9,'1bezr.'!$E$3:'1bezr.'!$E$28,1)+COUNTIF('1bezr.'!$E$3:'1bezr.'!E9,'1bezr.'!E9)-1</f>
        <v>15</v>
      </c>
      <c r="W10" s="151" t="str">
        <f>INDEX('1bezr.'!B3:G28,MATCH(7,V4:V29,0),1)</f>
        <v>Krosno</v>
      </c>
      <c r="X10" s="6">
        <f>INDEX('1bezr.'!E3:G28,MATCH(7,V4:V29,0),1)</f>
        <v>25</v>
      </c>
      <c r="Y10" s="145">
        <v>6</v>
      </c>
      <c r="Z10" s="2"/>
      <c r="AA10" s="6">
        <f>RANK('1bezr.'!C9,'1bezr.'!$C$3:'1bezr.'!$C$28,1)+COUNTIF('1bezr.'!$C$3:'1bezr.'!C9,'1bezr.'!C9)-1</f>
        <v>11</v>
      </c>
      <c r="AB10" s="152" t="str">
        <f>INDEX('1bezr.'!B3:G28,MATCH(19,AA4:AA29,0),1)</f>
        <v>strzyżowski</v>
      </c>
      <c r="AC10" s="6">
        <f>INDEX('1bezr.'!B3:K28,MATCH(19,AA4:AA29,0),2)</f>
        <v>3113</v>
      </c>
      <c r="AE10" s="6">
        <f>RANK('1bezr.'!C9,'1bezr.'!$C$3:'1bezr.'!$C$28,1)+COUNTIF('1bezr.'!$C$3:'1bezr.'!C9,'1bezr.'!C9)-1</f>
        <v>11</v>
      </c>
      <c r="AF10" s="152" t="str">
        <f>INDEX('1bezr.'!B3:G28,MATCH(7,AE4:AE29,0),1)</f>
        <v>leski</v>
      </c>
      <c r="AG10" s="6">
        <f>INDEX('1bezr.'!B3:K28,MATCH(7,AE4:AE29,0),2)</f>
        <v>1726</v>
      </c>
    </row>
    <row r="11" spans="2:33" x14ac:dyDescent="0.2">
      <c r="B11" s="6">
        <f>RANK('1bezr.'!C10,'1bezr.'!$C$3:'1bezr.'!$C$28,1)+COUNTIF('1bezr.'!$C$3:'1bezr.'!C10,'1bezr.'!C10)-1</f>
        <v>7</v>
      </c>
      <c r="C11" s="5" t="str">
        <f>INDEX('1bezr.'!B3:G28,MATCH(8,B4:B29,0),1)</f>
        <v>stalowowolski</v>
      </c>
      <c r="D11" s="6">
        <f>INDEX('1bezr.'!B3:G28,MATCH(8,B4:B29,0),2)</f>
        <v>2098</v>
      </c>
      <c r="E11" s="42">
        <f>INDEX('1bezr.'!B3:G28,MATCH(8,B4:B29,0),3)</f>
        <v>2045</v>
      </c>
      <c r="F11" s="6">
        <f>INDEX('1bezr.'!B3:G28,MATCH(8,B4:B29,0),4)</f>
        <v>53</v>
      </c>
      <c r="G11" s="42">
        <f>INDEX('1bezr.'!B3:G28,MATCH(8,B4:B29,0),5)</f>
        <v>1943</v>
      </c>
      <c r="H11" s="6">
        <f>INDEX('1bezr.'!B3:G28,MATCH(8,B4:B29,0),6)</f>
        <v>155</v>
      </c>
      <c r="V11" s="6">
        <f>RANK('1bezr.'!E10,'1bezr.'!$E$3:'1bezr.'!$E$28,1)+COUNTIF('1bezr.'!$E$3:'1bezr.'!E10,'1bezr.'!E10)-1</f>
        <v>10</v>
      </c>
      <c r="W11" s="146" t="str">
        <f>INDEX('1bezr.'!B3:G28,MATCH(8,V4:V29,0),1)</f>
        <v>mielecki</v>
      </c>
      <c r="X11" s="6">
        <f>INDEX('1bezr.'!E3:G28,MATCH(8,V4:V29,0),1)</f>
        <v>37</v>
      </c>
      <c r="Y11" s="145">
        <v>7</v>
      </c>
      <c r="Z11" s="2"/>
      <c r="AA11" s="6">
        <f>RANK('1bezr.'!C10,'1bezr.'!$C$3:'1bezr.'!$C$28,1)+COUNTIF('1bezr.'!$C$3:'1bezr.'!C10,'1bezr.'!C10)-1</f>
        <v>7</v>
      </c>
      <c r="AB11" s="130" t="str">
        <f>INDEX('1bezr.'!B3:G28,MATCH(18,AA4:AA29,0),1)</f>
        <v>mielecki</v>
      </c>
      <c r="AC11" s="6">
        <f>INDEX('1bezr.'!B3:K28,MATCH(18,AA4:AA29,0),2)</f>
        <v>3075</v>
      </c>
      <c r="AE11" s="6">
        <f>RANK('1bezr.'!C10,'1bezr.'!$C$3:'1bezr.'!$C$28,1)+COUNTIF('1bezr.'!$C$3:'1bezr.'!C10,'1bezr.'!C10)-1</f>
        <v>7</v>
      </c>
      <c r="AF11" s="130" t="str">
        <f>INDEX('1bezr.'!B3:G28,MATCH(8,AE4:AE29,0),1)</f>
        <v>stalowowolski</v>
      </c>
      <c r="AG11" s="6">
        <f>INDEX('1bezr.'!B3:K28,MATCH(8,AE4:AE29,0),2)</f>
        <v>2098</v>
      </c>
    </row>
    <row r="12" spans="2:33" x14ac:dyDescent="0.2">
      <c r="B12" s="6">
        <f>RANK('1bezr.'!C11,'1bezr.'!$C$3:'1bezr.'!$C$28,1)+COUNTIF('1bezr.'!$C$3:'1bezr.'!C11,'1bezr.'!C11)-1</f>
        <v>17</v>
      </c>
      <c r="C12" s="5" t="str">
        <f>INDEX('1bezr.'!B3:G28,MATCH(9,B4:B29,0),1)</f>
        <v>dębicki</v>
      </c>
      <c r="D12" s="6">
        <f>INDEX('1bezr.'!B3:G28,MATCH(9,B4:B29,0),2)</f>
        <v>2247</v>
      </c>
      <c r="E12" s="42">
        <f>INDEX('1bezr.'!B3:G28,MATCH(9,B4:B29,0),3)</f>
        <v>2236</v>
      </c>
      <c r="F12" s="6">
        <f>INDEX('1bezr.'!B3:G28,MATCH(9,B4:B29,0),4)</f>
        <v>11</v>
      </c>
      <c r="G12" s="42">
        <f>INDEX('1bezr.'!B3:G28,MATCH(9,B4:B29,0),5)</f>
        <v>2433</v>
      </c>
      <c r="H12" s="6">
        <f>INDEX('1bezr.'!B3:G28,MATCH(9,B4:B29,0),6)</f>
        <v>-186</v>
      </c>
      <c r="V12" s="6">
        <f>RANK('1bezr.'!E11,'1bezr.'!$E$3:'1bezr.'!$E$28,1)+COUNTIF('1bezr.'!$E$3:'1bezr.'!E11,'1bezr.'!E11)-1</f>
        <v>21</v>
      </c>
      <c r="W12" s="146" t="str">
        <f>INDEX('1bezr.'!B3:G28,MATCH(9,V4:V29,0),1)</f>
        <v>Przemyśl</v>
      </c>
      <c r="X12" s="6">
        <f>INDEX('1bezr.'!E3:G28,MATCH(9,V4:V29,0),1)</f>
        <v>43</v>
      </c>
      <c r="Y12" s="145">
        <v>8</v>
      </c>
      <c r="Z12" s="2"/>
      <c r="AA12" s="6">
        <f>RANK('1bezr.'!C11,'1bezr.'!$C$3:'1bezr.'!$C$28,1)+COUNTIF('1bezr.'!$C$3:'1bezr.'!C11,'1bezr.'!C11)-1</f>
        <v>17</v>
      </c>
      <c r="AB12" s="130" t="str">
        <f>INDEX('1bezr.'!B3:G28,MATCH(17,AA4:AA29,0),1)</f>
        <v>leżajski</v>
      </c>
      <c r="AC12" s="6">
        <f>INDEX('1bezr.'!B3:K28,MATCH(17,AA4:AA29,0),2)</f>
        <v>2975</v>
      </c>
      <c r="AE12" s="6">
        <f>RANK('1bezr.'!C11,'1bezr.'!$C$3:'1bezr.'!$C$28,1)+COUNTIF('1bezr.'!$C$3:'1bezr.'!C11,'1bezr.'!C11)-1</f>
        <v>17</v>
      </c>
      <c r="AF12" s="130" t="str">
        <f>INDEX('1bezr.'!B3:G28,MATCH(9,AE4:AE29,0),1)</f>
        <v>dębicki</v>
      </c>
      <c r="AG12" s="6">
        <f>INDEX('1bezr.'!B3:K28,MATCH(9,AE4:AE29,0),2)</f>
        <v>2247</v>
      </c>
    </row>
    <row r="13" spans="2:33" x14ac:dyDescent="0.2">
      <c r="B13" s="6">
        <f>RANK('1bezr.'!C12,'1bezr.'!$C$3:'1bezr.'!$C$28,1)+COUNTIF('1bezr.'!$C$3:'1bezr.'!C12,'1bezr.'!C12)-1</f>
        <v>6</v>
      </c>
      <c r="C13" s="5" t="str">
        <f>INDEX('1bezr.'!B3:G28,MATCH(10,B4:B29,0),1)</f>
        <v>Przemyśl</v>
      </c>
      <c r="D13" s="6">
        <f>INDEX('1bezr.'!B3:G28,MATCH(10,B4:B29,0),2)</f>
        <v>2338</v>
      </c>
      <c r="E13" s="42">
        <f>INDEX('1bezr.'!B3:G28,MATCH(10,B4:B29,0),3)</f>
        <v>2295</v>
      </c>
      <c r="F13" s="6">
        <f>INDEX('1bezr.'!B3:G28,MATCH(10,B4:B29,0),4)</f>
        <v>43</v>
      </c>
      <c r="G13" s="42">
        <f>INDEX('1bezr.'!B3:G28,MATCH(10,B4:B29,0),5)</f>
        <v>2346</v>
      </c>
      <c r="H13" s="6">
        <f>INDEX('1bezr.'!B3:G28,MATCH(10,B4:B29,0),6)</f>
        <v>-8</v>
      </c>
      <c r="V13" s="6">
        <f>RANK('1bezr.'!E12,'1bezr.'!$E$3:'1bezr.'!$E$28,1)+COUNTIF('1bezr.'!$E$3:'1bezr.'!E12,'1bezr.'!E12)-1</f>
        <v>6</v>
      </c>
      <c r="W13" s="146" t="str">
        <f>INDEX('1bezr.'!B3:G28,MATCH(10,V4:V29,0),1)</f>
        <v>leski</v>
      </c>
      <c r="X13" s="6">
        <f>INDEX('1bezr.'!E3:G28,MATCH(10,V4:V29,0),1)</f>
        <v>53</v>
      </c>
      <c r="Y13" s="145">
        <v>9</v>
      </c>
      <c r="Z13" s="123"/>
      <c r="AA13" s="6">
        <f>RANK('1bezr.'!C12,'1bezr.'!$C$3:'1bezr.'!$C$28,1)+COUNTIF('1bezr.'!$C$3:'1bezr.'!C12,'1bezr.'!C12)-1</f>
        <v>6</v>
      </c>
      <c r="AB13" s="130" t="str">
        <f>INDEX('1bezr.'!B3:G28,MATCH(16,AA4:AA29,0),1)</f>
        <v>przemyski</v>
      </c>
      <c r="AC13" s="6">
        <f>INDEX('1bezr.'!B3:K28,MATCH(16,AA4:AA29,0),2)</f>
        <v>2958</v>
      </c>
      <c r="AE13" s="6">
        <f>RANK('1bezr.'!C12,'1bezr.'!$C$3:'1bezr.'!$C$28,1)+COUNTIF('1bezr.'!$C$3:'1bezr.'!C12,'1bezr.'!C12)-1</f>
        <v>6</v>
      </c>
      <c r="AF13" s="130" t="str">
        <f>INDEX('1bezr.'!B3:G28,MATCH(10,AE4:AE29,0),1)</f>
        <v>Przemyśl</v>
      </c>
      <c r="AG13" s="6">
        <f>INDEX('1bezr.'!B3:K28,MATCH(10,AE4:AE29,0),2)</f>
        <v>2338</v>
      </c>
    </row>
    <row r="14" spans="2:33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krośnieński</v>
      </c>
      <c r="D14" s="6">
        <f>INDEX('1bezr.'!B3:G28,MATCH(11,B4:B29,0),2)</f>
        <v>2356</v>
      </c>
      <c r="E14" s="42">
        <f>INDEX('1bezr.'!B3:G28,MATCH(11,B4:B29,0),3)</f>
        <v>2272</v>
      </c>
      <c r="F14" s="6">
        <f>INDEX('1bezr.'!B3:G28,MATCH(11,B4:B29,0),4)</f>
        <v>84</v>
      </c>
      <c r="G14" s="42">
        <f>INDEX('1bezr.'!B3:G28,MATCH(11,B4:B29,0),5)</f>
        <v>2221</v>
      </c>
      <c r="H14" s="6">
        <f>INDEX('1bezr.'!B3:G28,MATCH(11,B4:B29,0),6)</f>
        <v>135</v>
      </c>
      <c r="V14" s="6">
        <f>RANK('1bezr.'!E13,'1bezr.'!$E$3:'1bezr.'!$E$28,1)+COUNTIF('1bezr.'!$E$3:'1bezr.'!E13,'1bezr.'!E13)-1</f>
        <v>22</v>
      </c>
      <c r="W14" s="146" t="str">
        <f>INDEX('1bezr.'!B3:G28,MATCH(11,V4:V29,0),1)</f>
        <v>stalowowolski</v>
      </c>
      <c r="X14" s="6">
        <f>INDEX('1bezr.'!E3:G28,MATCH(11,V4:V29,0),1)</f>
        <v>53</v>
      </c>
      <c r="Y14" s="145">
        <v>10</v>
      </c>
      <c r="Z14" s="2"/>
      <c r="AA14" s="6">
        <f>RANK('1bezr.'!C13,'1bezr.'!$C$3:'1bezr.'!$C$28,1)+COUNTIF('1bezr.'!$C$3:'1bezr.'!C13,'1bezr.'!C13)-1</f>
        <v>12</v>
      </c>
      <c r="AB14" s="130" t="str">
        <f>INDEX('1bezr.'!B3:G28,MATCH(15,AA4:AA29,0),1)</f>
        <v>niżański</v>
      </c>
      <c r="AC14" s="6">
        <f>INDEX('1bezr.'!B3:K28,MATCH(15,AA4:AA29,0),2)</f>
        <v>2929</v>
      </c>
      <c r="AE14" s="6">
        <f>RANK('1bezr.'!C13,'1bezr.'!$C$3:'1bezr.'!$C$28,1)+COUNTIF('1bezr.'!$C$3:'1bezr.'!C13,'1bezr.'!C13)-1</f>
        <v>12</v>
      </c>
      <c r="AF14" s="130" t="str">
        <f>INDEX('1bezr.'!B3:G28,MATCH(11,AE4:AE29,0),1)</f>
        <v>krośnieński</v>
      </c>
      <c r="AG14" s="6">
        <f>INDEX('1bezr.'!B3:K28,MATCH(11,AE4:AE29,0),2)</f>
        <v>2356</v>
      </c>
    </row>
    <row r="15" spans="2:33" x14ac:dyDescent="0.2">
      <c r="B15" s="6">
        <f>RANK('1bezr.'!C14,'1bezr.'!$C$3:'1bezr.'!$C$28,1)+COUNTIF('1bezr.'!$C$3:'1bezr.'!C14,'1bezr.'!C14)-1</f>
        <v>18</v>
      </c>
      <c r="C15" s="5" t="str">
        <f>INDEX('1bezr.'!B3:G28,MATCH(12,B4:B29,0),1)</f>
        <v>łańcucki</v>
      </c>
      <c r="D15" s="6">
        <f>INDEX('1bezr.'!B3:G28,MATCH(12,B4:B29,0),2)</f>
        <v>2519</v>
      </c>
      <c r="E15" s="42">
        <f>INDEX('1bezr.'!B3:G28,MATCH(12,B4:B29,0),3)</f>
        <v>2412</v>
      </c>
      <c r="F15" s="6">
        <f>INDEX('1bezr.'!B3:G28,MATCH(12,B4:B29,0),4)</f>
        <v>107</v>
      </c>
      <c r="G15" s="42">
        <f>INDEX('1bezr.'!B3:G28,MATCH(12,B4:B29,0),5)</f>
        <v>2547</v>
      </c>
      <c r="H15" s="6">
        <f>INDEX('1bezr.'!B3:G28,MATCH(12,B4:B29,0),6)</f>
        <v>-28</v>
      </c>
      <c r="V15" s="6">
        <f>RANK('1bezr.'!E14,'1bezr.'!$E$3:'1bezr.'!$E$28,1)+COUNTIF('1bezr.'!$E$3:'1bezr.'!E14,'1bezr.'!E14)-1</f>
        <v>8</v>
      </c>
      <c r="W15" s="146" t="str">
        <f>INDEX('1bezr.'!B3:G28,MATCH(12,V4:V29,0),1)</f>
        <v>bieszczadzki</v>
      </c>
      <c r="X15" s="6">
        <f>INDEX('1bezr.'!E3:G28,MATCH(12,V4:V29,0),1)</f>
        <v>55</v>
      </c>
      <c r="Y15" s="145">
        <v>11</v>
      </c>
      <c r="Z15" s="2"/>
      <c r="AA15" s="6">
        <f>RANK('1bezr.'!C14,'1bezr.'!$C$3:'1bezr.'!$C$28,1)+COUNTIF('1bezr.'!$C$3:'1bezr.'!C14,'1bezr.'!C14)-1</f>
        <v>18</v>
      </c>
      <c r="AB15" s="130" t="str">
        <f>INDEX('1bezr.'!B3:G28,MATCH(14,AA4:AA29,0),1)</f>
        <v>sanocki</v>
      </c>
      <c r="AC15" s="6">
        <f>INDEX('1bezr.'!B3:K28,MATCH(14,AA4:AA29,0),2)</f>
        <v>2881</v>
      </c>
      <c r="AE15" s="6">
        <f>RANK('1bezr.'!C14,'1bezr.'!$C$3:'1bezr.'!$C$28,1)+COUNTIF('1bezr.'!$C$3:'1bezr.'!C14,'1bezr.'!C14)-1</f>
        <v>18</v>
      </c>
      <c r="AF15" s="130" t="str">
        <f>INDEX('1bezr.'!B3:G28,MATCH(12,AE4:AE29,0),1)</f>
        <v>łańcucki</v>
      </c>
      <c r="AG15" s="6">
        <f>INDEX('1bezr.'!B3:K28,MATCH(12,AE4:AE29,0),2)</f>
        <v>2519</v>
      </c>
    </row>
    <row r="16" spans="2:33" x14ac:dyDescent="0.2">
      <c r="B16" s="6">
        <f>RANK('1bezr.'!C15,'1bezr.'!$C$3:'1bezr.'!$C$28,1)+COUNTIF('1bezr.'!$C$3:'1bezr.'!C15,'1bezr.'!C15)-1</f>
        <v>15</v>
      </c>
      <c r="C16" s="5" t="str">
        <f>INDEX('1bezr.'!B3:G28,MATCH(13,B4:B29,0),1)</f>
        <v>ropczycko-sędziszowski</v>
      </c>
      <c r="D16" s="6">
        <f>INDEX('1bezr.'!B3:G28,MATCH(13,B4:B29,0),2)</f>
        <v>2673</v>
      </c>
      <c r="E16" s="42">
        <f>INDEX('1bezr.'!B3:G28,MATCH(13,B4:B29,0),3)</f>
        <v>2581</v>
      </c>
      <c r="F16" s="6">
        <f>INDEX('1bezr.'!B3:G28,MATCH(13,B4:B29,0),4)</f>
        <v>92</v>
      </c>
      <c r="G16" s="42">
        <f>INDEX('1bezr.'!B3:G28,MATCH(13,B4:B29,0),5)</f>
        <v>2551</v>
      </c>
      <c r="H16" s="6">
        <f>INDEX('1bezr.'!B3:G28,MATCH(13,B4:B29,0),6)</f>
        <v>122</v>
      </c>
      <c r="V16" s="6">
        <f>RANK('1bezr.'!E15,'1bezr.'!$E$3:'1bezr.'!$E$28,1)+COUNTIF('1bezr.'!$E$3:'1bezr.'!E15,'1bezr.'!E15)-1</f>
        <v>16</v>
      </c>
      <c r="W16" s="146" t="str">
        <f>INDEX('1bezr.'!B3:G28,MATCH(13,V4:V29,0),1)</f>
        <v>przeworski</v>
      </c>
      <c r="X16" s="6">
        <f>INDEX('1bezr.'!E3:G28,MATCH(13,V4:V29,0),1)</f>
        <v>57</v>
      </c>
      <c r="Y16" s="145">
        <v>12</v>
      </c>
      <c r="Z16" s="2"/>
      <c r="AA16" s="6">
        <f>RANK('1bezr.'!C15,'1bezr.'!$C$3:'1bezr.'!$C$28,1)+COUNTIF('1bezr.'!$C$3:'1bezr.'!C15,'1bezr.'!C15)-1</f>
        <v>15</v>
      </c>
      <c r="AB16" s="130" t="str">
        <f>INDEX('1bezr.'!B3:G28,MATCH(13,AA4:AA29,0),1)</f>
        <v>ropczycko-sędziszowski</v>
      </c>
      <c r="AC16" s="6">
        <f>INDEX('1bezr.'!B3:K28,MATCH(13,AA4:AA29,0),2)</f>
        <v>2673</v>
      </c>
      <c r="AE16" s="6">
        <f>RANK('1bezr.'!C15,'1bezr.'!$C$3:'1bezr.'!$C$28,1)+COUNTIF('1bezr.'!$C$3:'1bezr.'!C15,'1bezr.'!C15)-1</f>
        <v>15</v>
      </c>
      <c r="AF16" s="130" t="str">
        <f>INDEX('1bezr.'!B3:G28,MATCH(13,AE4:AE29,0),1)</f>
        <v>ropczycko-sędziszowski</v>
      </c>
      <c r="AG16" s="6">
        <f>INDEX('1bezr.'!B3:K28,MATCH(13,AE4:AE29,0),2)</f>
        <v>2673</v>
      </c>
    </row>
    <row r="17" spans="2:33" x14ac:dyDescent="0.2">
      <c r="B17" s="6">
        <f>RANK('1bezr.'!C16,'1bezr.'!$C$3:'1bezr.'!$C$28,1)+COUNTIF('1bezr.'!$C$3:'1bezr.'!C16,'1bezr.'!C16)-1</f>
        <v>16</v>
      </c>
      <c r="C17" s="5" t="str">
        <f>INDEX('1bezr.'!B3:G28,MATCH(14,B4:B29,0),1)</f>
        <v>sanocki</v>
      </c>
      <c r="D17" s="6">
        <f>INDEX('1bezr.'!B3:G28,MATCH(14,B4:B29,0),2)</f>
        <v>2881</v>
      </c>
      <c r="E17" s="42">
        <f>INDEX('1bezr.'!B3:G28,MATCH(14,B4:B29,0),3)</f>
        <v>2789</v>
      </c>
      <c r="F17" s="6">
        <f>INDEX('1bezr.'!B3:G28,MATCH(14,B4:B29,0),4)</f>
        <v>92</v>
      </c>
      <c r="G17" s="42">
        <f>INDEX('1bezr.'!B3:G28,MATCH(14,B4:B29,0),5)</f>
        <v>2737</v>
      </c>
      <c r="H17" s="6">
        <f>INDEX('1bezr.'!B3:G28,MATCH(14,B4:B29,0),6)</f>
        <v>144</v>
      </c>
      <c r="V17" s="6">
        <f>RANK('1bezr.'!E16,'1bezr.'!$E$3:'1bezr.'!$E$28,1)+COUNTIF('1bezr.'!$E$3:'1bezr.'!E16,'1bezr.'!E16)-1</f>
        <v>23</v>
      </c>
      <c r="W17" s="146" t="str">
        <f>INDEX('1bezr.'!B3:G28,MATCH(14,V4:V29,0),1)</f>
        <v>rzeszowski</v>
      </c>
      <c r="X17" s="6">
        <f>INDEX('1bezr.'!E3:G28,MATCH(14,V4:V29,0),1)</f>
        <v>67</v>
      </c>
      <c r="Y17" s="145">
        <v>13</v>
      </c>
      <c r="Z17" s="2"/>
      <c r="AA17" s="6">
        <f>RANK('1bezr.'!C16,'1bezr.'!$C$3:'1bezr.'!$C$28,1)+COUNTIF('1bezr.'!$C$3:'1bezr.'!C16,'1bezr.'!C16)-1</f>
        <v>16</v>
      </c>
      <c r="AB17" s="130" t="str">
        <f>INDEX('1bezr.'!B3:G28,MATCH(12,AA4:AA29,0),1)</f>
        <v>łańcucki</v>
      </c>
      <c r="AC17" s="6">
        <f>INDEX('1bezr.'!B3:K28,MATCH(12,AA4:AA29,0),2)</f>
        <v>2519</v>
      </c>
      <c r="AE17" s="6">
        <f>RANK('1bezr.'!C16,'1bezr.'!$C$3:'1bezr.'!$C$28,1)+COUNTIF('1bezr.'!$C$3:'1bezr.'!C16,'1bezr.'!C16)-1</f>
        <v>16</v>
      </c>
      <c r="AF17" s="130" t="str">
        <f>INDEX('1bezr.'!B3:G28,MATCH(14,AE4:AE29,0),1)</f>
        <v>sanocki</v>
      </c>
      <c r="AG17" s="6">
        <f>INDEX('1bezr.'!B3:K28,MATCH(14,AE4:AE29,0),2)</f>
        <v>2881</v>
      </c>
    </row>
    <row r="18" spans="2:33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niżański</v>
      </c>
      <c r="D18" s="6">
        <f>INDEX('1bezr.'!B3:G28,MATCH(15,B4:B29,0),2)</f>
        <v>2929</v>
      </c>
      <c r="E18" s="42">
        <f>INDEX('1bezr.'!B3:G28,MATCH(15,B4:B29,0),3)</f>
        <v>2842</v>
      </c>
      <c r="F18" s="6">
        <f>INDEX('1bezr.'!B3:G28,MATCH(15,B4:B29,0),4)</f>
        <v>87</v>
      </c>
      <c r="G18" s="42">
        <f>INDEX('1bezr.'!B3:G28,MATCH(15,B4:B29,0),5)</f>
        <v>3043</v>
      </c>
      <c r="H18" s="6">
        <f>INDEX('1bezr.'!B3:G28,MATCH(15,B4:B29,0),6)</f>
        <v>-114</v>
      </c>
      <c r="V18" s="6">
        <f>RANK('1bezr.'!E17,'1bezr.'!$E$3:'1bezr.'!$E$28,1)+COUNTIF('1bezr.'!$E$3:'1bezr.'!E17,'1bezr.'!E17)-1</f>
        <v>13</v>
      </c>
      <c r="W18" s="146" t="str">
        <f>INDEX('1bezr.'!B3:G28,MATCH(15,V4:V29,0),1)</f>
        <v>krośnieński</v>
      </c>
      <c r="X18" s="6">
        <f>INDEX('1bezr.'!E3:G28,MATCH(15,V4:V29,0),1)</f>
        <v>84</v>
      </c>
      <c r="Y18" s="145">
        <v>14</v>
      </c>
      <c r="Z18" s="2"/>
      <c r="AA18" s="6">
        <f>RANK('1bezr.'!C17,'1bezr.'!$C$3:'1bezr.'!$C$28,1)+COUNTIF('1bezr.'!$C$3:'1bezr.'!C17,'1bezr.'!C17)-1</f>
        <v>20</v>
      </c>
      <c r="AB18" s="130" t="str">
        <f>INDEX('1bezr.'!B3:G28,MATCH(11,AA4:AA29,0),1)</f>
        <v>krośnieński</v>
      </c>
      <c r="AC18" s="6">
        <f>INDEX('1bezr.'!B3:K28,MATCH(11,AA4:AA29,0),2)</f>
        <v>2356</v>
      </c>
      <c r="AE18" s="6">
        <f>RANK('1bezr.'!C17,'1bezr.'!$C$3:'1bezr.'!$C$28,1)+COUNTIF('1bezr.'!$C$3:'1bezr.'!C17,'1bezr.'!C17)-1</f>
        <v>20</v>
      </c>
      <c r="AF18" s="130" t="str">
        <f>INDEX('1bezr.'!B3:G28,MATCH(15,AE4:AE29,0),1)</f>
        <v>niżański</v>
      </c>
      <c r="AG18" s="6">
        <f>INDEX('1bezr.'!B3:K28,MATCH(15,AE4:AE29,0),2)</f>
        <v>2929</v>
      </c>
    </row>
    <row r="19" spans="2:33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przemyski</v>
      </c>
      <c r="D19" s="6">
        <f>INDEX('1bezr.'!B3:G28,MATCH(16,B4:B29,0),2)</f>
        <v>2958</v>
      </c>
      <c r="E19" s="42">
        <f>INDEX('1bezr.'!B3:G28,MATCH(16,B4:B29,0),3)</f>
        <v>2810</v>
      </c>
      <c r="F19" s="6">
        <f>INDEX('1bezr.'!B3:G28,MATCH(16,B4:B29,0),4)</f>
        <v>148</v>
      </c>
      <c r="G19" s="42">
        <f>INDEX('1bezr.'!B3:G28,MATCH(16,B4:B29,0),5)</f>
        <v>2963</v>
      </c>
      <c r="H19" s="6">
        <f>INDEX('1bezr.'!B3:G28,MATCH(16,B4:B29,0),6)</f>
        <v>-5</v>
      </c>
      <c r="V19" s="6">
        <f>RANK('1bezr.'!E18,'1bezr.'!$E$3:'1bezr.'!$E$28,1)+COUNTIF('1bezr.'!$E$3:'1bezr.'!E18,'1bezr.'!E18)-1</f>
        <v>18</v>
      </c>
      <c r="W19" s="146" t="str">
        <f>INDEX('1bezr.'!B3:G28,MATCH(16,V4:V29,0),1)</f>
        <v>niżański</v>
      </c>
      <c r="X19" s="6">
        <f>INDEX('1bezr.'!E3:G28,MATCH(16,V4:V29,0),1)</f>
        <v>87</v>
      </c>
      <c r="Y19" s="145">
        <v>15</v>
      </c>
      <c r="Z19" s="2"/>
      <c r="AA19" s="6">
        <f>RANK('1bezr.'!C18,'1bezr.'!$C$3:'1bezr.'!$C$28,1)+COUNTIF('1bezr.'!$C$3:'1bezr.'!C18,'1bezr.'!C18)-1</f>
        <v>13</v>
      </c>
      <c r="AB19" s="130" t="str">
        <f>INDEX('1bezr.'!B3:G28,MATCH(10,AA4:AA29,0),1)</f>
        <v>Przemyśl</v>
      </c>
      <c r="AC19" s="6">
        <f>INDEX('1bezr.'!B3:K28,MATCH(10,AA4:AA29,0),2)</f>
        <v>2338</v>
      </c>
      <c r="AE19" s="6">
        <f>RANK('1bezr.'!C18,'1bezr.'!$C$3:'1bezr.'!$C$28,1)+COUNTIF('1bezr.'!$C$3:'1bezr.'!C18,'1bezr.'!C18)-1</f>
        <v>13</v>
      </c>
      <c r="AF19" s="130" t="str">
        <f>INDEX('1bezr.'!B3:G28,MATCH(16,AE4:AE29,0),1)</f>
        <v>przemyski</v>
      </c>
      <c r="AG19" s="6">
        <f>INDEX('1bezr.'!B3:K28,MATCH(16,AE4:AE29,0),2)</f>
        <v>2958</v>
      </c>
    </row>
    <row r="20" spans="2:33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leżajski</v>
      </c>
      <c r="D20" s="6">
        <f>INDEX('1bezr.'!B3:G28,MATCH(17,B4:B29,0),2)</f>
        <v>2975</v>
      </c>
      <c r="E20" s="42">
        <f>INDEX('1bezr.'!B3:G28,MATCH(17,B4:B29,0),3)</f>
        <v>2871</v>
      </c>
      <c r="F20" s="6">
        <f>INDEX('1bezr.'!B3:G28,MATCH(17,B4:B29,0),4)</f>
        <v>104</v>
      </c>
      <c r="G20" s="42">
        <f>INDEX('1bezr.'!B3:G28,MATCH(17,B4:B29,0),5)</f>
        <v>3105</v>
      </c>
      <c r="H20" s="6">
        <f>INDEX('1bezr.'!B3:G28,MATCH(17,B4:B29,0),6)</f>
        <v>-130</v>
      </c>
      <c r="V20" s="6">
        <f>RANK('1bezr.'!E19,'1bezr.'!$E$3:'1bezr.'!$E$28,1)+COUNTIF('1bezr.'!$E$3:'1bezr.'!E19,'1bezr.'!E19)-1</f>
        <v>14</v>
      </c>
      <c r="W20" s="146" t="str">
        <f>INDEX('1bezr.'!B3:G28,MATCH(17,V4:V29,0),1)</f>
        <v>jasielski</v>
      </c>
      <c r="X20" s="6">
        <f>INDEX('1bezr.'!E3:G28,MATCH(17,V4:V29,0),1)</f>
        <v>90</v>
      </c>
      <c r="Y20" s="145">
        <v>16</v>
      </c>
      <c r="Z20" s="2"/>
      <c r="AA20" s="6">
        <f>RANK('1bezr.'!C19,'1bezr.'!$C$3:'1bezr.'!$C$28,1)+COUNTIF('1bezr.'!$C$3:'1bezr.'!C19,'1bezr.'!C19)-1</f>
        <v>23</v>
      </c>
      <c r="AB20" s="130" t="str">
        <f>INDEX('1bezr.'!B3:G28,MATCH(9,AA4:AA29,0),1)</f>
        <v>dębicki</v>
      </c>
      <c r="AC20" s="6">
        <f>INDEX('1bezr.'!B3:K28,MATCH(9,AA4:AA29,0),2)</f>
        <v>2247</v>
      </c>
      <c r="AE20" s="6">
        <f>RANK('1bezr.'!C19,'1bezr.'!$C$3:'1bezr.'!$C$28,1)+COUNTIF('1bezr.'!$C$3:'1bezr.'!C19,'1bezr.'!C19)-1</f>
        <v>23</v>
      </c>
      <c r="AF20" s="130" t="str">
        <f>INDEX('1bezr.'!B3:G28,MATCH(17,AE4:AE29,0),1)</f>
        <v>leżajski</v>
      </c>
      <c r="AG20" s="6">
        <f>INDEX('1bezr.'!B3:K28,MATCH(17,AE4:AE29,0),2)</f>
        <v>2975</v>
      </c>
    </row>
    <row r="21" spans="2:33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mielecki</v>
      </c>
      <c r="D21" s="6">
        <f>INDEX('1bezr.'!B3:G28,MATCH(18,B4:B29,0),2)</f>
        <v>3075</v>
      </c>
      <c r="E21" s="42">
        <f>INDEX('1bezr.'!B3:G28,MATCH(18,B4:B29,0),3)</f>
        <v>3038</v>
      </c>
      <c r="F21" s="6">
        <f>INDEX('1bezr.'!B3:G28,MATCH(18,B4:B29,0),4)</f>
        <v>37</v>
      </c>
      <c r="G21" s="42">
        <f>INDEX('1bezr.'!B3:G28,MATCH(18,B4:B29,0),5)</f>
        <v>3017</v>
      </c>
      <c r="H21" s="6">
        <f>INDEX('1bezr.'!B3:G28,MATCH(18,B4:B29,0),6)</f>
        <v>58</v>
      </c>
      <c r="V21" s="6">
        <f>RANK('1bezr.'!E20,'1bezr.'!$E$3:'1bezr.'!$E$28,1)+COUNTIF('1bezr.'!$E$3:'1bezr.'!E20,'1bezr.'!E20)-1</f>
        <v>19</v>
      </c>
      <c r="W21" s="146" t="str">
        <f>INDEX('1bezr.'!B3:G28,MATCH(18,V4:V29,0),1)</f>
        <v>ropczycko-sędziszowski</v>
      </c>
      <c r="X21" s="6">
        <f>INDEX('1bezr.'!E3:G28,MATCH(18,V4:V29,0),1)</f>
        <v>92</v>
      </c>
      <c r="Y21" s="145">
        <v>17</v>
      </c>
      <c r="Z21" s="2"/>
      <c r="AA21" s="6">
        <f>RANK('1bezr.'!C20,'1bezr.'!$C$3:'1bezr.'!$C$28,1)+COUNTIF('1bezr.'!$C$3:'1bezr.'!C20,'1bezr.'!C20)-1</f>
        <v>14</v>
      </c>
      <c r="AB21" s="130" t="str">
        <f>INDEX('1bezr.'!B3:G28,MATCH(8,AA4:AA29,0),1)</f>
        <v>stalowowolski</v>
      </c>
      <c r="AC21" s="6">
        <f>INDEX('1bezr.'!B3:K28,MATCH(8,AA4:AA29,0),2)</f>
        <v>2098</v>
      </c>
      <c r="AE21" s="6">
        <f>RANK('1bezr.'!C20,'1bezr.'!$C$3:'1bezr.'!$C$28,1)+COUNTIF('1bezr.'!$C$3:'1bezr.'!C20,'1bezr.'!C20)-1</f>
        <v>14</v>
      </c>
      <c r="AF21" s="130" t="str">
        <f>INDEX('1bezr.'!B3:G28,MATCH(18,AE4:AE29,0),1)</f>
        <v>mielecki</v>
      </c>
      <c r="AG21" s="6">
        <f>INDEX('1bezr.'!B3:K28,MATCH(18,AE4:AE29,0),2)</f>
        <v>3075</v>
      </c>
    </row>
    <row r="22" spans="2:33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strzyżowski</v>
      </c>
      <c r="D22" s="6">
        <f>INDEX('1bezr.'!B3:G28,MATCH(19,B4:B29,0),2)</f>
        <v>3113</v>
      </c>
      <c r="E22" s="42">
        <f>INDEX('1bezr.'!B3:G28,MATCH(19,B4:B29,0),3)</f>
        <v>2964</v>
      </c>
      <c r="F22" s="6">
        <f>INDEX('1bezr.'!B3:G28,MATCH(19,B4:B29,0),4)</f>
        <v>149</v>
      </c>
      <c r="G22" s="42">
        <f>INDEX('1bezr.'!B3:G28,MATCH(19,B4:B29,0),5)</f>
        <v>3125</v>
      </c>
      <c r="H22" s="6">
        <f>INDEX('1bezr.'!B3:G28,MATCH(19,B4:B29,0),6)</f>
        <v>-12</v>
      </c>
      <c r="V22" s="6">
        <f>RANK('1bezr.'!E21,'1bezr.'!$E$3:'1bezr.'!$E$28,1)+COUNTIF('1bezr.'!$E$3:'1bezr.'!E21,'1bezr.'!E21)-1</f>
        <v>11</v>
      </c>
      <c r="W22" s="146" t="str">
        <f>INDEX('1bezr.'!B3:G28,MATCH(19,V4:V29,0),1)</f>
        <v>sanocki</v>
      </c>
      <c r="X22" s="6">
        <f>INDEX('1bezr.'!E3:G28,MATCH(19,V4:V29,0),1)</f>
        <v>92</v>
      </c>
      <c r="Y22" s="145">
        <v>18</v>
      </c>
      <c r="Z22" s="2"/>
      <c r="AA22" s="6">
        <f>RANK('1bezr.'!C21,'1bezr.'!$C$3:'1bezr.'!$C$28,1)+COUNTIF('1bezr.'!$C$3:'1bezr.'!C21,'1bezr.'!C21)-1</f>
        <v>8</v>
      </c>
      <c r="AB22" s="130" t="str">
        <f>INDEX('1bezr.'!B3:G28,MATCH(7,AA4:AA29,0),1)</f>
        <v>leski</v>
      </c>
      <c r="AC22" s="6">
        <f>INDEX('1bezr.'!B3:K28,MATCH(7,AA4:AA29,0),2)</f>
        <v>1726</v>
      </c>
      <c r="AE22" s="6">
        <f>RANK('1bezr.'!C21,'1bezr.'!$C$3:'1bezr.'!$C$28,1)+COUNTIF('1bezr.'!$C$3:'1bezr.'!C21,'1bezr.'!C21)-1</f>
        <v>8</v>
      </c>
      <c r="AF22" s="130" t="str">
        <f>INDEX('1bezr.'!B3:G28,MATCH(19,AE4:AE29,0),1)</f>
        <v>strzyżowski</v>
      </c>
      <c r="AG22" s="6">
        <f>INDEX('1bezr.'!B3:K28,MATCH(19,AE4:AE29,0),2)</f>
        <v>3113</v>
      </c>
    </row>
    <row r="23" spans="2:33" x14ac:dyDescent="0.2">
      <c r="B23" s="6">
        <f>RANK('1bezr.'!C22,'1bezr.'!$C$3:'1bezr.'!$C$28,1)+COUNTIF('1bezr.'!$C$3:'1bezr.'!C22,'1bezr.'!C22)-1</f>
        <v>19</v>
      </c>
      <c r="C23" s="5" t="str">
        <f>INDEX('1bezr.'!B3:G28,MATCH(20,B4:B29,0),1)</f>
        <v>przeworski</v>
      </c>
      <c r="D23" s="6">
        <f>INDEX('1bezr.'!B3:G28,MATCH(20,B4:B29,0),2)</f>
        <v>3337</v>
      </c>
      <c r="E23" s="42">
        <f>INDEX('1bezr.'!B3:G28,MATCH(20,B4:B29,0),3)</f>
        <v>3280</v>
      </c>
      <c r="F23" s="6">
        <f>INDEX('1bezr.'!B3:G28,MATCH(20,B4:B29,0),4)</f>
        <v>57</v>
      </c>
      <c r="G23" s="42">
        <f>INDEX('1bezr.'!B3:G28,MATCH(20,B4:B29,0),5)</f>
        <v>3397</v>
      </c>
      <c r="H23" s="6">
        <f>INDEX('1bezr.'!B3:G28,MATCH(20,B4:B29,0),6)</f>
        <v>-60</v>
      </c>
      <c r="V23" s="6">
        <f>RANK('1bezr.'!E22,'1bezr.'!$E$3:'1bezr.'!$E$28,1)+COUNTIF('1bezr.'!$E$3:'1bezr.'!E22,'1bezr.'!E22)-1</f>
        <v>24</v>
      </c>
      <c r="W23" s="146" t="str">
        <f>INDEX('1bezr.'!B3:G28,MATCH(20,V4:V29,0),1)</f>
        <v>brzozowski</v>
      </c>
      <c r="X23" s="6">
        <f>INDEX('1bezr.'!E3:G28,MATCH(20,V4:V29,0),1)</f>
        <v>102</v>
      </c>
      <c r="Y23" s="145">
        <v>19</v>
      </c>
      <c r="Z23" s="2"/>
      <c r="AA23" s="6">
        <f>RANK('1bezr.'!C22,'1bezr.'!$C$3:'1bezr.'!$C$28,1)+COUNTIF('1bezr.'!$C$3:'1bezr.'!C22,'1bezr.'!C22)-1</f>
        <v>19</v>
      </c>
      <c r="AB23" s="130" t="str">
        <f>INDEX('1bezr.'!B3:G28,MATCH(6,AA4:AA29,0),1)</f>
        <v>lubaczowski</v>
      </c>
      <c r="AC23" s="6">
        <f>INDEX('1bezr.'!B3:K28,MATCH(6,AA4:AA29,0),2)</f>
        <v>1704</v>
      </c>
      <c r="AE23" s="6">
        <f>RANK('1bezr.'!C22,'1bezr.'!$C$3:'1bezr.'!$C$28,1)+COUNTIF('1bezr.'!$C$3:'1bezr.'!C22,'1bezr.'!C22)-1</f>
        <v>19</v>
      </c>
      <c r="AF23" s="130" t="str">
        <f>INDEX('1bezr.'!B3:G28,MATCH(20,AE4:AE29,0),1)</f>
        <v>przeworski</v>
      </c>
      <c r="AG23" s="6">
        <f>INDEX('1bezr.'!B3:K28,MATCH(20,AE4:AE29,0),2)</f>
        <v>3337</v>
      </c>
    </row>
    <row r="24" spans="2:33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3780</v>
      </c>
      <c r="E24" s="42">
        <f>INDEX('1bezr.'!B3:G28,MATCH(21,B4:B29,0),3)</f>
        <v>3678</v>
      </c>
      <c r="F24" s="6">
        <f>INDEX('1bezr.'!B3:G28,MATCH(21,B4:B29,0),4)</f>
        <v>102</v>
      </c>
      <c r="G24" s="42">
        <f>INDEX('1bezr.'!B3:G28,MATCH(21,B4:B29,0),5)</f>
        <v>3848</v>
      </c>
      <c r="H24" s="6">
        <f>INDEX('1bezr.'!B3:G28,MATCH(21,B4:B29,0),6)</f>
        <v>-68</v>
      </c>
      <c r="V24" s="6">
        <f>RANK('1bezr.'!E23,'1bezr.'!$E$3:'1bezr.'!$E$28,1)+COUNTIF('1bezr.'!$E$3:'1bezr.'!E23,'1bezr.'!E23)-1</f>
        <v>3</v>
      </c>
      <c r="W24" s="146" t="str">
        <f>INDEX('1bezr.'!B3:G28,MATCH(21,V4:V29,0),1)</f>
        <v>leżajski</v>
      </c>
      <c r="X24" s="6">
        <f>INDEX('1bezr.'!E3:G28,MATCH(21,V4:V29,0),1)</f>
        <v>104</v>
      </c>
      <c r="Y24" s="145">
        <v>20</v>
      </c>
      <c r="Z24" s="2"/>
      <c r="AA24" s="6">
        <f>RANK('1bezr.'!C23,'1bezr.'!$C$3:'1bezr.'!$C$28,1)+COUNTIF('1bezr.'!$C$3:'1bezr.'!C23,'1bezr.'!C23)-1</f>
        <v>4</v>
      </c>
      <c r="AB24" s="130" t="str">
        <f>INDEX('1bezr.'!B3:G28,MATCH(5,AA4:AA29,0),1)</f>
        <v>kolbuszowski</v>
      </c>
      <c r="AC24" s="6">
        <f>INDEX('1bezr.'!B3:K28,MATCH(5,AA4:AA29,0),2)</f>
        <v>1536</v>
      </c>
      <c r="AE24" s="6">
        <f>RANK('1bezr.'!C23,'1bezr.'!$C$3:'1bezr.'!$C$28,1)+COUNTIF('1bezr.'!$C$3:'1bezr.'!C23,'1bezr.'!C23)-1</f>
        <v>4</v>
      </c>
      <c r="AF24" s="130" t="str">
        <f>INDEX('1bezr.'!B3:G28,MATCH(21,AE4:AE29,0),1)</f>
        <v>brzozowski</v>
      </c>
      <c r="AG24" s="6">
        <f>INDEX('1bezr.'!B3:K28,MATCH(21,AE4:AE29,0),2)</f>
        <v>3780</v>
      </c>
    </row>
    <row r="25" spans="2:33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4489</v>
      </c>
      <c r="E25" s="42">
        <f>INDEX('1bezr.'!B3:G28,MATCH(22,B4:B29,0),3)</f>
        <v>4286</v>
      </c>
      <c r="F25" s="6">
        <f>INDEX('1bezr.'!B3:G28,MATCH(22,B4:B29,0),4)</f>
        <v>203</v>
      </c>
      <c r="G25" s="42">
        <f>INDEX('1bezr.'!B3:G28,MATCH(22,B4:B29,0),5)</f>
        <v>4299</v>
      </c>
      <c r="H25" s="6">
        <f>INDEX('1bezr.'!B3:G28,MATCH(22,B4:B29,0),6)</f>
        <v>190</v>
      </c>
      <c r="V25" s="6">
        <f>RANK('1bezr.'!E24,'1bezr.'!$E$3:'1bezr.'!$E$28,1)+COUNTIF('1bezr.'!$E$3:'1bezr.'!E24,'1bezr.'!E24)-1</f>
        <v>7</v>
      </c>
      <c r="W25" s="146" t="str">
        <f>INDEX('1bezr.'!B3:G28,MATCH(22,V4:V29,0),1)</f>
        <v>łańcucki</v>
      </c>
      <c r="X25" s="6">
        <f>INDEX('1bezr.'!E3:G28,MATCH(22,V4:V29,0),1)</f>
        <v>107</v>
      </c>
      <c r="Y25" s="145">
        <v>21</v>
      </c>
      <c r="Z25" s="2"/>
      <c r="AA25" s="6">
        <f>RANK('1bezr.'!C24,'1bezr.'!$C$3:'1bezr.'!$C$28,1)+COUNTIF('1bezr.'!$C$3:'1bezr.'!C24,'1bezr.'!C24)-1</f>
        <v>1</v>
      </c>
      <c r="AB25" s="130" t="str">
        <f>INDEX('1bezr.'!B3:G28,MATCH(4,AA4:AA29,0),1)</f>
        <v xml:space="preserve">tarnobrzeski </v>
      </c>
      <c r="AC25" s="6">
        <f>INDEX('1bezr.'!B3:K28,MATCH(4,AA4:AA29,0),2)</f>
        <v>1243</v>
      </c>
      <c r="AE25" s="6">
        <f>RANK('1bezr.'!C24,'1bezr.'!$C$3:'1bezr.'!$C$28,1)+COUNTIF('1bezr.'!$C$3:'1bezr.'!C24,'1bezr.'!C24)-1</f>
        <v>1</v>
      </c>
      <c r="AF25" s="130" t="str">
        <f>INDEX('1bezr.'!B3:G28,MATCH(22,AE4:AE29,0),1)</f>
        <v>jarosławski</v>
      </c>
      <c r="AG25" s="6">
        <f>INDEX('1bezr.'!B3:K28,MATCH(22,AE4:AE29,0),2)</f>
        <v>4489</v>
      </c>
    </row>
    <row r="26" spans="2:33" x14ac:dyDescent="0.2">
      <c r="B26" s="6">
        <f>RANK('1bezr.'!C25,'1bezr.'!$C$3:'1bezr.'!$C$28,1)+COUNTIF('1bezr.'!$C$3:'1bezr.'!C25,'1bezr.'!C25)-1</f>
        <v>10</v>
      </c>
      <c r="C26" s="5" t="str">
        <f>INDEX('1bezr.'!B3:G28,MATCH(23,B4:B29,0),1)</f>
        <v>rzeszowski</v>
      </c>
      <c r="D26" s="6">
        <f>INDEX('1bezr.'!B3:G28,MATCH(23,B4:B29,0),2)</f>
        <v>4540</v>
      </c>
      <c r="E26" s="42">
        <f>INDEX('1bezr.'!B3:G28,MATCH(23,B4:B29,0),3)</f>
        <v>4473</v>
      </c>
      <c r="F26" s="6">
        <f>INDEX('1bezr.'!B3:G28,MATCH(23,B4:B29,0),4)</f>
        <v>67</v>
      </c>
      <c r="G26" s="42">
        <f>INDEX('1bezr.'!B3:G28,MATCH(23,B4:B29,0),5)</f>
        <v>4670</v>
      </c>
      <c r="H26" s="6">
        <f>INDEX('1bezr.'!B3:G28,MATCH(23,B4:B29,0),6)</f>
        <v>-130</v>
      </c>
      <c r="V26" s="6">
        <f>RANK('1bezr.'!E25,'1bezr.'!$E$3:'1bezr.'!$E$28,1)+COUNTIF('1bezr.'!$E$3:'1bezr.'!E25,'1bezr.'!E25)-1</f>
        <v>9</v>
      </c>
      <c r="W26" s="146" t="str">
        <f>INDEX('1bezr.'!B3:G28,MATCH(23,V4:V29,0),1)</f>
        <v>przemyski</v>
      </c>
      <c r="X26" s="6">
        <f>INDEX('1bezr.'!E3:G28,MATCH(23,V4:V29,0),1)</f>
        <v>148</v>
      </c>
      <c r="Y26" s="145">
        <v>22</v>
      </c>
      <c r="Z26" s="2"/>
      <c r="AA26" s="6">
        <f>RANK('1bezr.'!C25,'1bezr.'!$C$3:'1bezr.'!$C$28,1)+COUNTIF('1bezr.'!$C$3:'1bezr.'!C25,'1bezr.'!C25)-1</f>
        <v>10</v>
      </c>
      <c r="AB26" s="130" t="str">
        <f>INDEX('1bezr.'!B3:G28,MATCH(3,AA4:AA29,0),1)</f>
        <v>bieszczadzki</v>
      </c>
      <c r="AC26" s="6">
        <f>INDEX('1bezr.'!B3:K28,MATCH(3,AA4:AA29,0),2)</f>
        <v>1130</v>
      </c>
      <c r="AE26" s="6">
        <f>RANK('1bezr.'!C25,'1bezr.'!$C$3:'1bezr.'!$C$28,1)+COUNTIF('1bezr.'!$C$3:'1bezr.'!C25,'1bezr.'!C25)-1</f>
        <v>10</v>
      </c>
      <c r="AF26" s="130" t="str">
        <f>INDEX('1bezr.'!B3:G28,MATCH(23,AE4:AE29,0),1)</f>
        <v>rzeszowski</v>
      </c>
      <c r="AG26" s="6">
        <f>INDEX('1bezr.'!B3:K28,MATCH(23,AE4:AE29,0),2)</f>
        <v>4540</v>
      </c>
    </row>
    <row r="27" spans="2:33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4919</v>
      </c>
      <c r="E27" s="42">
        <f>INDEX('1bezr.'!B3:G28,MATCH(24,B4:B29,0),3)</f>
        <v>4829</v>
      </c>
      <c r="F27" s="6">
        <f>INDEX('1bezr.'!B3:G28,MATCH(24,B4:B29,0),4)</f>
        <v>90</v>
      </c>
      <c r="G27" s="42">
        <f>INDEX('1bezr.'!B3:G28,MATCH(24,B4:B29,0),5)</f>
        <v>5107</v>
      </c>
      <c r="H27" s="6">
        <f>INDEX('1bezr.'!B3:G28,MATCH(24,B4:B29,0),6)</f>
        <v>-188</v>
      </c>
      <c r="V27" s="6">
        <f>RANK('1bezr.'!E26,'1bezr.'!$E$3:'1bezr.'!$E$28,1)+COUNTIF('1bezr.'!$E$3:'1bezr.'!E26,'1bezr.'!E26)-1</f>
        <v>5</v>
      </c>
      <c r="W27" s="146" t="str">
        <f>INDEX('1bezr.'!B3:G28,MATCH(24,V4:V29,0),1)</f>
        <v>strzyżowski</v>
      </c>
      <c r="X27" s="6">
        <f>INDEX('1bezr.'!E3:G28,MATCH(24,V4:V29,0),1)</f>
        <v>149</v>
      </c>
      <c r="Y27" s="145">
        <v>23</v>
      </c>
      <c r="Z27" s="2"/>
      <c r="AA27" s="6">
        <f>RANK('1bezr.'!C26,'1bezr.'!$C$3:'1bezr.'!$C$28,1)+COUNTIF('1bezr.'!$C$3:'1bezr.'!C26,'1bezr.'!C26)-1</f>
        <v>25</v>
      </c>
      <c r="AB27" s="130" t="str">
        <f>INDEX('1bezr.'!B3:G28,MATCH(2,AA4:AA29,0),1)</f>
        <v>Tarnobrzeg</v>
      </c>
      <c r="AC27" s="6">
        <f>INDEX('1bezr.'!B3:K28,MATCH(2,AA4:AA29,0),2)</f>
        <v>999</v>
      </c>
      <c r="AE27" s="6">
        <f>RANK('1bezr.'!C26,'1bezr.'!$C$3:'1bezr.'!$C$28,1)+COUNTIF('1bezr.'!$C$3:'1bezr.'!C26,'1bezr.'!C26)-1</f>
        <v>25</v>
      </c>
      <c r="AF27" s="130" t="str">
        <f>INDEX('1bezr.'!B3:G28,MATCH(24,AE4:AE29,0),1)</f>
        <v>jasielski</v>
      </c>
      <c r="AG27" s="6">
        <f>INDEX('1bezr.'!B3:K28,MATCH(24,AE4:AE29,0),2)</f>
        <v>4919</v>
      </c>
    </row>
    <row r="28" spans="2:33" x14ac:dyDescent="0.2">
      <c r="B28" s="6">
        <f>RANK('1bezr.'!C27,'1bezr.'!$C$3:'1bezr.'!$C$28,1)+COUNTIF('1bezr.'!$C$3:'1bezr.'!C27,'1bezr.'!C27)-1</f>
        <v>2</v>
      </c>
      <c r="C28" s="5" t="str">
        <f>INDEX('1bezr.'!B3:G28,MATCH(25,B4:B29,0),1)</f>
        <v>Rzeszów</v>
      </c>
      <c r="D28" s="6">
        <f>INDEX('1bezr.'!B3:G28,MATCH(25,B4:B29,0),2)</f>
        <v>4957</v>
      </c>
      <c r="E28" s="42">
        <f>INDEX('1bezr.'!B3:G28,MATCH(25,B4:B29,0),3)</f>
        <v>4941</v>
      </c>
      <c r="F28" s="6">
        <f>INDEX('1bezr.'!B3:G28,MATCH(25,B4:B29,0),4)</f>
        <v>16</v>
      </c>
      <c r="G28" s="42">
        <f>INDEX('1bezr.'!B3:G28,MATCH(25,B4:B29,0),5)</f>
        <v>5033</v>
      </c>
      <c r="H28" s="6">
        <f>INDEX('1bezr.'!B3:G28,MATCH(25,B4:B29,0),6)</f>
        <v>-76</v>
      </c>
      <c r="V28" s="6">
        <f>RANK('1bezr.'!E27,'1bezr.'!$E$3:'1bezr.'!$E$28,1)+COUNTIF('1bezr.'!$E$3:'1bezr.'!E27,'1bezr.'!E27)-1</f>
        <v>1</v>
      </c>
      <c r="W28" s="146" t="str">
        <f>INDEX('1bezr.'!B3:G28,MATCH(25,V4:V29,0),1)</f>
        <v>jarosławski</v>
      </c>
      <c r="X28" s="6">
        <f>INDEX('1bezr.'!E3:G28,MATCH(25,V4:V29,0),1)</f>
        <v>203</v>
      </c>
      <c r="Y28" s="145">
        <v>24</v>
      </c>
      <c r="Z28" s="2"/>
      <c r="AA28" s="6">
        <f>RANK('1bezr.'!C27,'1bezr.'!$C$3:'1bezr.'!$C$28,1)+COUNTIF('1bezr.'!$C$3:'1bezr.'!C27,'1bezr.'!C27)-1</f>
        <v>2</v>
      </c>
      <c r="AB28" s="130" t="str">
        <f>INDEX('1bezr.'!B3:G28,MATCH(1,AA4:AA29,0),1)</f>
        <v>Krosno</v>
      </c>
      <c r="AC28" s="6">
        <f>INDEX('1bezr.'!B3:K28,MATCH(1,AA4:AA29,0),2)</f>
        <v>814</v>
      </c>
      <c r="AE28" s="6">
        <f>RANK('1bezr.'!C27,'1bezr.'!$C$3:'1bezr.'!$C$28,1)+COUNTIF('1bezr.'!$C$3:'1bezr.'!C27,'1bezr.'!C27)-1</f>
        <v>2</v>
      </c>
      <c r="AF28" s="130" t="str">
        <f>INDEX('1bezr.'!B3:G28,MATCH(25,AE4:AE29,0),1)</f>
        <v>Rzeszów</v>
      </c>
      <c r="AG28" s="6">
        <f>INDEX('1bezr.'!B3:K28,MATCH(25,AE4:AE29,0),2)</f>
        <v>4957</v>
      </c>
    </row>
    <row r="29" spans="2:33" ht="15" x14ac:dyDescent="0.25">
      <c r="B29" s="40">
        <f>RANK('1bezr.'!C28,'1bezr.'!$C$3:'1bezr.'!$C$28,1)+COUNTIF('1bezr.'!$C$3:'1bezr.'!C28,'1bezr.'!C28)-1</f>
        <v>26</v>
      </c>
      <c r="C29" s="39" t="str">
        <f>INDEX('1bezr.'!B3:G28,MATCH(26,B4:B29,0),1)</f>
        <v>województwo</v>
      </c>
      <c r="D29" s="40">
        <f>INDEX('1bezr.'!B3:G28,MATCH(26,B4:B29,0),2)</f>
        <v>67336</v>
      </c>
      <c r="E29" s="44">
        <f>INDEX('1bezr.'!B3:G28,MATCH(26,B4:B29,0),3)</f>
        <v>65624</v>
      </c>
      <c r="F29" s="40">
        <f>INDEX('1bezr.'!B3:G28,MATCH(26,B4:B29,0),4)</f>
        <v>1712</v>
      </c>
      <c r="G29" s="44">
        <f>INDEX('1bezr.'!B3:G28,MATCH(26,B4:B29,0),5)</f>
        <v>65958</v>
      </c>
      <c r="H29" s="40">
        <f>INDEX('1bezr.'!B3:G28,MATCH(26,B4:B29,0),6)</f>
        <v>1378</v>
      </c>
      <c r="V29" s="6">
        <f>RANK('1bezr.'!E28,'1bezr.'!$E$3:'1bezr.'!$E$28,1)+COUNTIF('1bezr.'!$E$3:'1bezr.'!E28,'1bezr.'!E28)-1</f>
        <v>26</v>
      </c>
      <c r="W29" s="170" t="str">
        <f>INDEX('1bezr.'!B3:G28,MATCH(26,V4:V29,0),1)</f>
        <v>województwo</v>
      </c>
      <c r="X29" s="6">
        <f>INDEX('1bezr.'!E3:G28,MATCH(26,V4:V29,0),1)</f>
        <v>1712</v>
      </c>
      <c r="Y29" s="145"/>
      <c r="Z29" s="2"/>
      <c r="AA29" s="133">
        <f>RANK('1bezr.'!C28,'1bezr.'!$C$3:'1bezr.'!$C$28,1)+COUNTIF('1bezr.'!$C$3:'1bezr.'!C28,'1bezr.'!C28)-1</f>
        <v>26</v>
      </c>
      <c r="AB29" s="153" t="str">
        <f>INDEX('1bezr.'!B3:G28,MATCH(26,AA4:AA29,0),1)</f>
        <v>województwo</v>
      </c>
      <c r="AC29" s="133">
        <f>INDEX('1bezr.'!B3:K28,MATCH(26,AA4:AA29,0),2)</f>
        <v>67336</v>
      </c>
      <c r="AE29" s="133">
        <f>RANK('1bezr.'!C28,'1bezr.'!$C$3:'1bezr.'!$C$28,1)+COUNTIF('1bezr.'!$C$3:'1bezr.'!C28,'1bezr.'!C28)-1</f>
        <v>26</v>
      </c>
      <c r="AF29" s="153" t="str">
        <f>INDEX('1bezr.'!B3:G28,MATCH(26,AE4:AE29,0),1)</f>
        <v>województwo</v>
      </c>
      <c r="AG29" s="133">
        <f>INDEX('1bezr.'!B3:K28,MATCH(26,AE4:AE29,0),2)</f>
        <v>67336</v>
      </c>
    </row>
    <row r="30" spans="2:33" x14ac:dyDescent="0.2">
      <c r="F30" s="19"/>
      <c r="H30" s="19"/>
      <c r="X30" s="49">
        <f>SUM(X4:X28)</f>
        <v>1712</v>
      </c>
      <c r="Y30" s="49"/>
      <c r="AC30" s="154">
        <f>SUM(AC4:AC28)</f>
        <v>67336</v>
      </c>
      <c r="AG30" s="154">
        <f>SUM(AG4:AG28)</f>
        <v>67336</v>
      </c>
    </row>
    <row r="31" spans="2:33" x14ac:dyDescent="0.2">
      <c r="X31" s="49"/>
    </row>
    <row r="32" spans="2:33" x14ac:dyDescent="0.2">
      <c r="X32" s="19"/>
    </row>
  </sheetData>
  <mergeCells count="1">
    <mergeCell ref="V1:Y1"/>
  </mergeCells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79</v>
      </c>
      <c r="D2" s="38" t="s">
        <v>74</v>
      </c>
      <c r="E2" s="37" t="s">
        <v>28</v>
      </c>
      <c r="F2" s="38" t="s">
        <v>80</v>
      </c>
      <c r="G2" s="37" t="s">
        <v>26</v>
      </c>
      <c r="I2" s="36" t="s">
        <v>27</v>
      </c>
      <c r="J2" s="37" t="str">
        <f>T('1bezr.'!C2)</f>
        <v>liczba bezrobotnych ogółem stan na 31-12-'24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538</v>
      </c>
      <c r="D3" s="42">
        <v>507</v>
      </c>
      <c r="E3" s="6">
        <f t="shared" ref="E3:E26" si="0">SUM(C3)-D3</f>
        <v>31</v>
      </c>
      <c r="F3" s="42">
        <v>535</v>
      </c>
      <c r="G3" s="6">
        <f t="shared" ref="G3:G26" si="1">SUM(C3)-F3</f>
        <v>3</v>
      </c>
      <c r="I3" s="5" t="s">
        <v>0</v>
      </c>
      <c r="J3" s="6">
        <f>SUM('1bezr.'!C3)</f>
        <v>1130</v>
      </c>
      <c r="K3" s="6">
        <f>SUM(C3)</f>
        <v>538</v>
      </c>
      <c r="L3" s="23">
        <f t="shared" ref="L3:L28" si="2">SUM(K3)/J3*100</f>
        <v>47.610619469026553</v>
      </c>
    </row>
    <row r="4" spans="2:12" x14ac:dyDescent="0.2">
      <c r="B4" s="5" t="s">
        <v>1</v>
      </c>
      <c r="C4" s="6">
        <v>1833</v>
      </c>
      <c r="D4" s="42">
        <v>1811</v>
      </c>
      <c r="E4" s="6">
        <f t="shared" si="0"/>
        <v>22</v>
      </c>
      <c r="F4" s="42">
        <v>1917</v>
      </c>
      <c r="G4" s="6">
        <f t="shared" si="1"/>
        <v>-84</v>
      </c>
      <c r="I4" s="5" t="s">
        <v>1</v>
      </c>
      <c r="J4" s="6">
        <f>SUM('1bezr.'!C4)</f>
        <v>3780</v>
      </c>
      <c r="K4" s="6">
        <f t="shared" ref="K4:K27" si="3">SUM(C4)</f>
        <v>1833</v>
      </c>
      <c r="L4" s="23">
        <f t="shared" si="2"/>
        <v>48.492063492063494</v>
      </c>
    </row>
    <row r="5" spans="2:12" x14ac:dyDescent="0.2">
      <c r="B5" s="5" t="s">
        <v>2</v>
      </c>
      <c r="C5" s="6">
        <v>1355</v>
      </c>
      <c r="D5" s="42">
        <v>1353</v>
      </c>
      <c r="E5" s="6">
        <f t="shared" si="0"/>
        <v>2</v>
      </c>
      <c r="F5" s="42">
        <v>1432</v>
      </c>
      <c r="G5" s="6">
        <f t="shared" si="1"/>
        <v>-77</v>
      </c>
      <c r="I5" s="5" t="s">
        <v>2</v>
      </c>
      <c r="J5" s="6">
        <f>SUM('1bezr.'!C5)</f>
        <v>2247</v>
      </c>
      <c r="K5" s="6">
        <f t="shared" si="3"/>
        <v>1355</v>
      </c>
      <c r="L5" s="23">
        <f t="shared" si="2"/>
        <v>60.302625723186473</v>
      </c>
    </row>
    <row r="6" spans="2:12" x14ac:dyDescent="0.2">
      <c r="B6" s="5" t="s">
        <v>3</v>
      </c>
      <c r="C6" s="6">
        <v>2302</v>
      </c>
      <c r="D6" s="42">
        <v>2207</v>
      </c>
      <c r="E6" s="6">
        <f t="shared" si="0"/>
        <v>95</v>
      </c>
      <c r="F6" s="42">
        <v>2221</v>
      </c>
      <c r="G6" s="6">
        <f t="shared" si="1"/>
        <v>81</v>
      </c>
      <c r="I6" s="5" t="s">
        <v>3</v>
      </c>
      <c r="J6" s="6">
        <f>SUM('1bezr.'!C6)</f>
        <v>4489</v>
      </c>
      <c r="K6" s="6">
        <f t="shared" si="3"/>
        <v>2302</v>
      </c>
      <c r="L6" s="23">
        <f t="shared" si="2"/>
        <v>51.280908888393853</v>
      </c>
    </row>
    <row r="7" spans="2:12" x14ac:dyDescent="0.2">
      <c r="B7" s="5" t="s">
        <v>4</v>
      </c>
      <c r="C7" s="6">
        <v>2797</v>
      </c>
      <c r="D7" s="42">
        <v>2796</v>
      </c>
      <c r="E7" s="6">
        <f t="shared" si="0"/>
        <v>1</v>
      </c>
      <c r="F7" s="42">
        <v>2888</v>
      </c>
      <c r="G7" s="6">
        <f t="shared" si="1"/>
        <v>-91</v>
      </c>
      <c r="I7" s="5" t="s">
        <v>4</v>
      </c>
      <c r="J7" s="6">
        <f>SUM('1bezr.'!C7)</f>
        <v>4919</v>
      </c>
      <c r="K7" s="6">
        <f t="shared" si="3"/>
        <v>2797</v>
      </c>
      <c r="L7" s="23">
        <f t="shared" si="2"/>
        <v>56.861150640374056</v>
      </c>
    </row>
    <row r="8" spans="2:12" x14ac:dyDescent="0.2">
      <c r="B8" s="5" t="s">
        <v>5</v>
      </c>
      <c r="C8" s="6">
        <v>709</v>
      </c>
      <c r="D8" s="42">
        <v>690</v>
      </c>
      <c r="E8" s="6">
        <f t="shared" si="0"/>
        <v>19</v>
      </c>
      <c r="F8" s="42">
        <v>727</v>
      </c>
      <c r="G8" s="6">
        <f t="shared" si="1"/>
        <v>-18</v>
      </c>
      <c r="I8" s="5" t="s">
        <v>5</v>
      </c>
      <c r="J8" s="6">
        <f>SUM('1bezr.'!C8)</f>
        <v>1536</v>
      </c>
      <c r="K8" s="6">
        <f t="shared" si="3"/>
        <v>709</v>
      </c>
      <c r="L8" s="23">
        <f>SUM(K8)/J8*100</f>
        <v>46.158854166666671</v>
      </c>
    </row>
    <row r="9" spans="2:12" x14ac:dyDescent="0.2">
      <c r="B9" s="9" t="s">
        <v>6</v>
      </c>
      <c r="C9" s="6">
        <v>1304</v>
      </c>
      <c r="D9" s="42">
        <v>1255</v>
      </c>
      <c r="E9" s="6">
        <f t="shared" si="0"/>
        <v>49</v>
      </c>
      <c r="F9" s="42">
        <v>1186</v>
      </c>
      <c r="G9" s="6">
        <f t="shared" si="1"/>
        <v>118</v>
      </c>
      <c r="I9" s="9" t="s">
        <v>6</v>
      </c>
      <c r="J9" s="6">
        <f>SUM('1bezr.'!C9)</f>
        <v>2356</v>
      </c>
      <c r="K9" s="6">
        <f t="shared" si="3"/>
        <v>1304</v>
      </c>
      <c r="L9" s="23">
        <f t="shared" si="2"/>
        <v>55.348047538200341</v>
      </c>
    </row>
    <row r="10" spans="2:12" x14ac:dyDescent="0.2">
      <c r="B10" s="5" t="s">
        <v>7</v>
      </c>
      <c r="C10" s="6">
        <v>800</v>
      </c>
      <c r="D10" s="42">
        <v>779</v>
      </c>
      <c r="E10" s="6">
        <f t="shared" si="0"/>
        <v>21</v>
      </c>
      <c r="F10" s="42">
        <v>789</v>
      </c>
      <c r="G10" s="6">
        <f t="shared" si="1"/>
        <v>11</v>
      </c>
      <c r="I10" s="5" t="s">
        <v>7</v>
      </c>
      <c r="J10" s="6">
        <f>SUM('1bezr.'!C10)</f>
        <v>1726</v>
      </c>
      <c r="K10" s="6">
        <f t="shared" si="3"/>
        <v>800</v>
      </c>
      <c r="L10" s="23">
        <f t="shared" si="2"/>
        <v>46.349942062572424</v>
      </c>
    </row>
    <row r="11" spans="2:12" x14ac:dyDescent="0.2">
      <c r="B11" s="5" t="s">
        <v>8</v>
      </c>
      <c r="C11" s="6">
        <v>1524</v>
      </c>
      <c r="D11" s="42">
        <v>1473</v>
      </c>
      <c r="E11" s="6">
        <f t="shared" si="0"/>
        <v>51</v>
      </c>
      <c r="F11" s="42">
        <v>1633</v>
      </c>
      <c r="G11" s="6">
        <f t="shared" si="1"/>
        <v>-109</v>
      </c>
      <c r="I11" s="5" t="s">
        <v>8</v>
      </c>
      <c r="J11" s="6">
        <f>SUM('1bezr.'!C11)</f>
        <v>2975</v>
      </c>
      <c r="K11" s="6">
        <f t="shared" si="3"/>
        <v>1524</v>
      </c>
      <c r="L11" s="23">
        <f t="shared" si="2"/>
        <v>51.226890756302524</v>
      </c>
    </row>
    <row r="12" spans="2:12" x14ac:dyDescent="0.2">
      <c r="B12" s="5" t="s">
        <v>9</v>
      </c>
      <c r="C12" s="6">
        <v>780</v>
      </c>
      <c r="D12" s="42">
        <v>790</v>
      </c>
      <c r="E12" s="6">
        <f t="shared" si="0"/>
        <v>-10</v>
      </c>
      <c r="F12" s="42">
        <v>854</v>
      </c>
      <c r="G12" s="6">
        <f t="shared" si="1"/>
        <v>-74</v>
      </c>
      <c r="I12" s="5" t="s">
        <v>9</v>
      </c>
      <c r="J12" s="6">
        <f>SUM('1bezr.'!C12)</f>
        <v>1704</v>
      </c>
      <c r="K12" s="6">
        <f t="shared" si="3"/>
        <v>780</v>
      </c>
      <c r="L12" s="23">
        <f t="shared" si="2"/>
        <v>45.774647887323944</v>
      </c>
    </row>
    <row r="13" spans="2:12" x14ac:dyDescent="0.2">
      <c r="B13" s="5" t="s">
        <v>10</v>
      </c>
      <c r="C13" s="6">
        <v>1195</v>
      </c>
      <c r="D13" s="42">
        <v>1140</v>
      </c>
      <c r="E13" s="6">
        <f t="shared" si="0"/>
        <v>55</v>
      </c>
      <c r="F13" s="42">
        <v>1214</v>
      </c>
      <c r="G13" s="6">
        <f t="shared" si="1"/>
        <v>-19</v>
      </c>
      <c r="I13" s="5" t="s">
        <v>10</v>
      </c>
      <c r="J13" s="6">
        <f>SUM('1bezr.'!C13)</f>
        <v>2519</v>
      </c>
      <c r="K13" s="6">
        <f t="shared" si="3"/>
        <v>1195</v>
      </c>
      <c r="L13" s="23">
        <f t="shared" si="2"/>
        <v>47.439460103215566</v>
      </c>
    </row>
    <row r="14" spans="2:12" x14ac:dyDescent="0.2">
      <c r="B14" s="5" t="s">
        <v>11</v>
      </c>
      <c r="C14" s="6">
        <v>1506</v>
      </c>
      <c r="D14" s="42">
        <v>1480</v>
      </c>
      <c r="E14" s="6">
        <f t="shared" si="0"/>
        <v>26</v>
      </c>
      <c r="F14" s="42">
        <v>1467</v>
      </c>
      <c r="G14" s="6">
        <f t="shared" si="1"/>
        <v>39</v>
      </c>
      <c r="I14" s="5" t="s">
        <v>11</v>
      </c>
      <c r="J14" s="6">
        <f>SUM('1bezr.'!C14)</f>
        <v>3075</v>
      </c>
      <c r="K14" s="6">
        <f t="shared" si="3"/>
        <v>1506</v>
      </c>
      <c r="L14" s="23">
        <f t="shared" si="2"/>
        <v>48.975609756097562</v>
      </c>
    </row>
    <row r="15" spans="2:12" x14ac:dyDescent="0.2">
      <c r="B15" s="5" t="s">
        <v>12</v>
      </c>
      <c r="C15" s="6">
        <v>1452</v>
      </c>
      <c r="D15" s="42">
        <v>1428</v>
      </c>
      <c r="E15" s="6">
        <f t="shared" si="0"/>
        <v>24</v>
      </c>
      <c r="F15" s="42">
        <v>1532</v>
      </c>
      <c r="G15" s="6">
        <f t="shared" si="1"/>
        <v>-80</v>
      </c>
      <c r="I15" s="5" t="s">
        <v>12</v>
      </c>
      <c r="J15" s="6">
        <f>SUM('1bezr.'!C15)</f>
        <v>2929</v>
      </c>
      <c r="K15" s="6">
        <f t="shared" si="3"/>
        <v>1452</v>
      </c>
      <c r="L15" s="23">
        <f t="shared" si="2"/>
        <v>49.573233185387508</v>
      </c>
    </row>
    <row r="16" spans="2:12" x14ac:dyDescent="0.2">
      <c r="B16" s="5" t="s">
        <v>13</v>
      </c>
      <c r="C16" s="6">
        <v>1459</v>
      </c>
      <c r="D16" s="42">
        <v>1394</v>
      </c>
      <c r="E16" s="6">
        <f t="shared" si="0"/>
        <v>65</v>
      </c>
      <c r="F16" s="42">
        <v>1484</v>
      </c>
      <c r="G16" s="6">
        <f t="shared" si="1"/>
        <v>-25</v>
      </c>
      <c r="I16" s="5" t="s">
        <v>13</v>
      </c>
      <c r="J16" s="6">
        <f>SUM('1bezr.'!C16)</f>
        <v>2958</v>
      </c>
      <c r="K16" s="6">
        <f t="shared" si="3"/>
        <v>1459</v>
      </c>
      <c r="L16" s="23">
        <f t="shared" si="2"/>
        <v>49.32386747802569</v>
      </c>
    </row>
    <row r="17" spans="2:12" x14ac:dyDescent="0.2">
      <c r="B17" s="5" t="s">
        <v>14</v>
      </c>
      <c r="C17" s="6">
        <v>1750</v>
      </c>
      <c r="D17" s="42">
        <v>1733</v>
      </c>
      <c r="E17" s="6">
        <f t="shared" si="0"/>
        <v>17</v>
      </c>
      <c r="F17" s="42">
        <v>1838</v>
      </c>
      <c r="G17" s="6">
        <f t="shared" si="1"/>
        <v>-88</v>
      </c>
      <c r="I17" s="5" t="s">
        <v>14</v>
      </c>
      <c r="J17" s="6">
        <f>SUM('1bezr.'!C17)</f>
        <v>3337</v>
      </c>
      <c r="K17" s="6">
        <f t="shared" si="3"/>
        <v>1750</v>
      </c>
      <c r="L17" s="23">
        <f t="shared" si="2"/>
        <v>52.442313455199283</v>
      </c>
    </row>
    <row r="18" spans="2:12" x14ac:dyDescent="0.2">
      <c r="B18" s="5" t="s">
        <v>15</v>
      </c>
      <c r="C18" s="6">
        <v>1378</v>
      </c>
      <c r="D18" s="42">
        <v>1357</v>
      </c>
      <c r="E18" s="6">
        <f t="shared" si="0"/>
        <v>21</v>
      </c>
      <c r="F18" s="42">
        <v>1353</v>
      </c>
      <c r="G18" s="6">
        <f t="shared" si="1"/>
        <v>25</v>
      </c>
      <c r="I18" s="5" t="s">
        <v>15</v>
      </c>
      <c r="J18" s="6">
        <f>SUM('1bezr.'!C18)</f>
        <v>2673</v>
      </c>
      <c r="K18" s="6">
        <f t="shared" si="3"/>
        <v>1378</v>
      </c>
      <c r="L18" s="23">
        <f t="shared" si="2"/>
        <v>51.552562663673775</v>
      </c>
    </row>
    <row r="19" spans="2:12" x14ac:dyDescent="0.2">
      <c r="B19" s="5" t="s">
        <v>16</v>
      </c>
      <c r="C19" s="6">
        <v>2159</v>
      </c>
      <c r="D19" s="42">
        <v>2138</v>
      </c>
      <c r="E19" s="6">
        <f t="shared" si="0"/>
        <v>21</v>
      </c>
      <c r="F19" s="42">
        <v>2308</v>
      </c>
      <c r="G19" s="6">
        <f t="shared" si="1"/>
        <v>-149</v>
      </c>
      <c r="I19" s="5" t="s">
        <v>16</v>
      </c>
      <c r="J19" s="6">
        <f>SUM('1bezr.'!C19)</f>
        <v>4540</v>
      </c>
      <c r="K19" s="6">
        <f t="shared" si="3"/>
        <v>2159</v>
      </c>
      <c r="L19" s="23">
        <f t="shared" si="2"/>
        <v>47.555066079295152</v>
      </c>
    </row>
    <row r="20" spans="2:12" x14ac:dyDescent="0.2">
      <c r="B20" s="5" t="s">
        <v>17</v>
      </c>
      <c r="C20" s="6">
        <v>1404</v>
      </c>
      <c r="D20" s="42">
        <v>1368</v>
      </c>
      <c r="E20" s="6">
        <f t="shared" si="0"/>
        <v>36</v>
      </c>
      <c r="F20" s="42">
        <v>1337</v>
      </c>
      <c r="G20" s="6">
        <f t="shared" si="1"/>
        <v>67</v>
      </c>
      <c r="I20" s="5" t="s">
        <v>17</v>
      </c>
      <c r="J20" s="6">
        <f>SUM('1bezr.'!C20)</f>
        <v>2881</v>
      </c>
      <c r="K20" s="6">
        <f t="shared" si="3"/>
        <v>1404</v>
      </c>
      <c r="L20" s="23">
        <f t="shared" si="2"/>
        <v>48.733078792086083</v>
      </c>
    </row>
    <row r="21" spans="2:12" x14ac:dyDescent="0.2">
      <c r="B21" s="5" t="s">
        <v>18</v>
      </c>
      <c r="C21" s="6">
        <v>1083</v>
      </c>
      <c r="D21" s="42">
        <v>1062</v>
      </c>
      <c r="E21" s="6">
        <f t="shared" si="0"/>
        <v>21</v>
      </c>
      <c r="F21" s="42">
        <v>1053</v>
      </c>
      <c r="G21" s="6">
        <f t="shared" si="1"/>
        <v>30</v>
      </c>
      <c r="I21" s="5" t="s">
        <v>18</v>
      </c>
      <c r="J21" s="6">
        <f>SUM('1bezr.'!C21)</f>
        <v>2098</v>
      </c>
      <c r="K21" s="6">
        <f t="shared" si="3"/>
        <v>1083</v>
      </c>
      <c r="L21" s="23">
        <f t="shared" si="2"/>
        <v>51.620591039084843</v>
      </c>
    </row>
    <row r="22" spans="2:12" x14ac:dyDescent="0.2">
      <c r="B22" s="5" t="s">
        <v>19</v>
      </c>
      <c r="C22" s="6">
        <v>1569</v>
      </c>
      <c r="D22" s="42">
        <v>1516</v>
      </c>
      <c r="E22" s="6">
        <f t="shared" si="0"/>
        <v>53</v>
      </c>
      <c r="F22" s="42">
        <v>1579</v>
      </c>
      <c r="G22" s="6">
        <f t="shared" si="1"/>
        <v>-10</v>
      </c>
      <c r="I22" s="5" t="s">
        <v>19</v>
      </c>
      <c r="J22" s="6">
        <f>SUM('1bezr.'!C22)</f>
        <v>3113</v>
      </c>
      <c r="K22" s="6">
        <f t="shared" si="3"/>
        <v>1569</v>
      </c>
      <c r="L22" s="23">
        <f t="shared" si="2"/>
        <v>50.401541920976541</v>
      </c>
    </row>
    <row r="23" spans="2:12" x14ac:dyDescent="0.2">
      <c r="B23" s="5" t="s">
        <v>20</v>
      </c>
      <c r="C23" s="6">
        <v>619</v>
      </c>
      <c r="D23" s="42">
        <v>606</v>
      </c>
      <c r="E23" s="6">
        <f t="shared" si="0"/>
        <v>13</v>
      </c>
      <c r="F23" s="42">
        <v>646</v>
      </c>
      <c r="G23" s="6">
        <f t="shared" si="1"/>
        <v>-27</v>
      </c>
      <c r="I23" s="5" t="s">
        <v>20</v>
      </c>
      <c r="J23" s="6">
        <f>SUM('1bezr.'!C23)</f>
        <v>1243</v>
      </c>
      <c r="K23" s="6">
        <f t="shared" si="3"/>
        <v>619</v>
      </c>
      <c r="L23" s="23">
        <f t="shared" si="2"/>
        <v>49.798873692679003</v>
      </c>
    </row>
    <row r="24" spans="2:12" x14ac:dyDescent="0.2">
      <c r="B24" s="5" t="s">
        <v>21</v>
      </c>
      <c r="C24" s="6">
        <v>426</v>
      </c>
      <c r="D24" s="42">
        <v>417</v>
      </c>
      <c r="E24" s="6">
        <f t="shared" si="0"/>
        <v>9</v>
      </c>
      <c r="F24" s="42">
        <v>428</v>
      </c>
      <c r="G24" s="6">
        <f t="shared" si="1"/>
        <v>-2</v>
      </c>
      <c r="I24" s="5" t="s">
        <v>21</v>
      </c>
      <c r="J24" s="6">
        <f>SUM('1bezr.'!C24)</f>
        <v>814</v>
      </c>
      <c r="K24" s="6">
        <f t="shared" si="3"/>
        <v>426</v>
      </c>
      <c r="L24" s="23">
        <f t="shared" si="2"/>
        <v>52.334152334152343</v>
      </c>
    </row>
    <row r="25" spans="2:12" x14ac:dyDescent="0.2">
      <c r="B25" s="5" t="s">
        <v>22</v>
      </c>
      <c r="C25" s="6">
        <v>1084</v>
      </c>
      <c r="D25" s="42">
        <v>1081</v>
      </c>
      <c r="E25" s="6">
        <f t="shared" si="0"/>
        <v>3</v>
      </c>
      <c r="F25" s="42">
        <v>1148</v>
      </c>
      <c r="G25" s="6">
        <f t="shared" si="1"/>
        <v>-64</v>
      </c>
      <c r="I25" s="5" t="s">
        <v>22</v>
      </c>
      <c r="J25" s="6">
        <f>SUM('1bezr.'!C25)</f>
        <v>2338</v>
      </c>
      <c r="K25" s="6">
        <f t="shared" si="3"/>
        <v>1084</v>
      </c>
      <c r="L25" s="23">
        <f t="shared" si="2"/>
        <v>46.364414029084685</v>
      </c>
    </row>
    <row r="26" spans="2:12" x14ac:dyDescent="0.2">
      <c r="B26" s="5" t="s">
        <v>23</v>
      </c>
      <c r="C26" s="6">
        <v>2475</v>
      </c>
      <c r="D26" s="42">
        <v>2472</v>
      </c>
      <c r="E26" s="6">
        <f t="shared" si="0"/>
        <v>3</v>
      </c>
      <c r="F26" s="42">
        <v>2557</v>
      </c>
      <c r="G26" s="6">
        <f t="shared" si="1"/>
        <v>-82</v>
      </c>
      <c r="I26" s="5" t="s">
        <v>23</v>
      </c>
      <c r="J26" s="6">
        <f>SUM('1bezr.'!C26)</f>
        <v>4957</v>
      </c>
      <c r="K26" s="6">
        <f t="shared" si="3"/>
        <v>2475</v>
      </c>
      <c r="L26" s="23">
        <f t="shared" si="2"/>
        <v>49.929392777889852</v>
      </c>
    </row>
    <row r="27" spans="2:12" x14ac:dyDescent="0.2">
      <c r="B27" s="5" t="s">
        <v>24</v>
      </c>
      <c r="C27" s="6">
        <v>493</v>
      </c>
      <c r="D27" s="42">
        <v>499</v>
      </c>
      <c r="E27" s="6">
        <f>SUM(C27)-D27</f>
        <v>-6</v>
      </c>
      <c r="F27" s="42">
        <v>553</v>
      </c>
      <c r="G27" s="6">
        <f>SUM(C27)-F27</f>
        <v>-60</v>
      </c>
      <c r="I27" s="5" t="s">
        <v>24</v>
      </c>
      <c r="J27" s="6">
        <f>SUM('1bezr.'!C27)</f>
        <v>999</v>
      </c>
      <c r="K27" s="6">
        <f t="shared" si="3"/>
        <v>493</v>
      </c>
      <c r="L27" s="23">
        <f t="shared" si="2"/>
        <v>49.349349349349346</v>
      </c>
    </row>
    <row r="28" spans="2:12" ht="15" x14ac:dyDescent="0.25">
      <c r="B28" s="39" t="s">
        <v>25</v>
      </c>
      <c r="C28" s="40">
        <f>SUM(C3:C27)</f>
        <v>33994</v>
      </c>
      <c r="D28" s="41">
        <f>SUM(D3:D27)</f>
        <v>33352</v>
      </c>
      <c r="E28" s="40">
        <f>SUM(E3:E27)</f>
        <v>642</v>
      </c>
      <c r="F28" s="41">
        <f>SUM(F3:F27)</f>
        <v>34679</v>
      </c>
      <c r="G28" s="40">
        <f>SUM(G3:G27)</f>
        <v>-685</v>
      </c>
      <c r="I28" s="39" t="s">
        <v>25</v>
      </c>
      <c r="J28" s="40">
        <f>SUM(J3:J27)</f>
        <v>67336</v>
      </c>
      <c r="K28" s="40">
        <f>SUM(K3:K27)</f>
        <v>33994</v>
      </c>
      <c r="L28" s="45">
        <f t="shared" si="2"/>
        <v>50.484139242010215</v>
      </c>
    </row>
    <row r="29" spans="2:12" x14ac:dyDescent="0.2">
      <c r="E29" s="19"/>
      <c r="F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31-12-'24 r.</v>
      </c>
      <c r="E3" s="36" t="str">
        <f>T('2kob.'!D2)</f>
        <v>liczba bezrobotnych kobiet stan na 30-11-'24 r.</v>
      </c>
      <c r="F3" s="36" t="str">
        <f>T('2kob.'!E2)</f>
        <v>wzrost/spadek do poprzedniego  miesiąca</v>
      </c>
      <c r="G3" s="36" t="str">
        <f>T('2kob.'!F2)</f>
        <v>liczba bezrobotnych kobiet stan na 31-12-'23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3</v>
      </c>
      <c r="C4" s="5" t="str">
        <f>INDEX('2kob.'!B3:G28,MATCH(1,B4:B29,0),1)</f>
        <v>Krosno</v>
      </c>
      <c r="D4" s="24">
        <f>INDEX('2kob.'!B3:G28,MATCH(1,B4:B29,0),2)</f>
        <v>426</v>
      </c>
      <c r="E4" s="42">
        <f>INDEX('2kob.'!B3:G28,MATCH(1,B4:B29,0),3)</f>
        <v>417</v>
      </c>
      <c r="F4" s="6">
        <f>INDEX('2kob.'!B3:G28,MATCH(1,B4:B29,0),4)</f>
        <v>9</v>
      </c>
      <c r="G4" s="42">
        <f>INDEX('2kob.'!B3:G28,MATCH(1,B4:B29,0),5)</f>
        <v>428</v>
      </c>
      <c r="H4" s="6">
        <f>INDEX('2kob.'!B3:G28,MATCH(1,B4:B29,0),6)</f>
        <v>-2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Tarnobrzeg</v>
      </c>
      <c r="D5" s="6">
        <f>INDEX('2kob.'!B3:G28,MATCH(2,B4:B29,0),2)</f>
        <v>493</v>
      </c>
      <c r="E5" s="42">
        <f>INDEX('2kob.'!B3:G28,MATCH(2,B4:B29,0),3)</f>
        <v>499</v>
      </c>
      <c r="F5" s="6">
        <f>INDEX('2kob.'!B3:G28,MATCH(2,B4:B29,0),4)</f>
        <v>-6</v>
      </c>
      <c r="G5" s="42">
        <f>INDEX('2kob.'!B3:G28,MATCH(2,B4:B29,0),5)</f>
        <v>553</v>
      </c>
      <c r="H5" s="6">
        <f>INDEX('2kob.'!B3:G28,MATCH(2,B4:B29,0),6)</f>
        <v>-60</v>
      </c>
    </row>
    <row r="6" spans="2:8" x14ac:dyDescent="0.2">
      <c r="B6" s="6">
        <f>RANK('2kob.'!C5,'2kob.'!$C$3:'2kob.'!$C$28,1)+COUNTIF('2kob.'!$C$3:'2kob.'!C5,'2kob.'!C5)-1</f>
        <v>12</v>
      </c>
      <c r="C6" s="5" t="str">
        <f>INDEX('2kob.'!B3:G28,MATCH(3,B4:B29,0),1)</f>
        <v>bieszczadzki</v>
      </c>
      <c r="D6" s="6">
        <f>INDEX('2kob.'!B3:G28,MATCH(3,B4:B29,0),2)</f>
        <v>538</v>
      </c>
      <c r="E6" s="42">
        <f>INDEX('2kob.'!B3:G28,MATCH(3,B4:B29,0),3)</f>
        <v>507</v>
      </c>
      <c r="F6" s="6">
        <f>INDEX('2kob.'!B3:G28,MATCH(3,B4:B29,0),4)</f>
        <v>31</v>
      </c>
      <c r="G6" s="42">
        <f>INDEX('2kob.'!B3:G28,MATCH(3,B4:B29,0),5)</f>
        <v>535</v>
      </c>
      <c r="H6" s="6">
        <f>INDEX('2kob.'!B3:G28,MATCH(3,B4:B29,0),6)</f>
        <v>3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619</v>
      </c>
      <c r="E7" s="42">
        <f>INDEX('2kob.'!B3:G28,MATCH(4,B4:B29,0),3)</f>
        <v>606</v>
      </c>
      <c r="F7" s="6">
        <f>INDEX('2kob.'!B3:G28,MATCH(4,B4:B29,0),4)</f>
        <v>13</v>
      </c>
      <c r="G7" s="42">
        <f>INDEX('2kob.'!B3:G28,MATCH(4,B4:B29,0),5)</f>
        <v>646</v>
      </c>
      <c r="H7" s="6">
        <f>INDEX('2kob.'!B3:G28,MATCH(4,B4:B29,0),6)</f>
        <v>-27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kolbuszowski</v>
      </c>
      <c r="D8" s="6">
        <f>INDEX('2kob.'!B3:G28,MATCH(5,B4:B29,0),2)</f>
        <v>709</v>
      </c>
      <c r="E8" s="42">
        <f>INDEX('2kob.'!B3:G28,MATCH(5,B4:B29,0),3)</f>
        <v>690</v>
      </c>
      <c r="F8" s="6">
        <f>INDEX('2kob.'!B3:G28,MATCH(5,B4:B29,0),4)</f>
        <v>19</v>
      </c>
      <c r="G8" s="42">
        <f>INDEX('2kob.'!B3:G28,MATCH(5,B4:B29,0),5)</f>
        <v>727</v>
      </c>
      <c r="H8" s="6">
        <f>INDEX('2kob.'!B3:G28,MATCH(5,B4:B29,0),6)</f>
        <v>-18</v>
      </c>
    </row>
    <row r="9" spans="2:8" x14ac:dyDescent="0.2">
      <c r="B9" s="6">
        <f>RANK('2kob.'!C8,'2kob.'!$C$3:'2kob.'!$C$28,1)+COUNTIF('2kob.'!$C$3:'2kob.'!C8,'2kob.'!C8)-1</f>
        <v>5</v>
      </c>
      <c r="C9" s="5" t="str">
        <f>INDEX('2kob.'!B3:G28,MATCH(6,B4:B29,0),1)</f>
        <v>lubaczowski</v>
      </c>
      <c r="D9" s="6">
        <f>INDEX('2kob.'!B3:G28,MATCH(6,B4:B29,0),2)</f>
        <v>780</v>
      </c>
      <c r="E9" s="42">
        <f>INDEX('2kob.'!B3:G28,MATCH(6,B4:B29,0),3)</f>
        <v>790</v>
      </c>
      <c r="F9" s="6">
        <f>INDEX('2kob.'!B3:G28,MATCH(6,B4:B29,0),4)</f>
        <v>-10</v>
      </c>
      <c r="G9" s="42">
        <f>INDEX('2kob.'!B3:G28,MATCH(6,B4:B29,0),5)</f>
        <v>854</v>
      </c>
      <c r="H9" s="6">
        <f>INDEX('2kob.'!B3:G28,MATCH(6,B4:B29,0),6)</f>
        <v>-74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leski</v>
      </c>
      <c r="D10" s="6">
        <f>INDEX('2kob.'!B3:G28,MATCH(7,B4:B29,0),2)</f>
        <v>800</v>
      </c>
      <c r="E10" s="42">
        <f>INDEX('2kob.'!B3:G28,MATCH(7,B4:B29,0),3)</f>
        <v>779</v>
      </c>
      <c r="F10" s="6">
        <f>INDEX('2kob.'!B3:G28,MATCH(7,B4:B29,0),4)</f>
        <v>21</v>
      </c>
      <c r="G10" s="42">
        <f>INDEX('2kob.'!B3:G28,MATCH(7,B4:B29,0),5)</f>
        <v>789</v>
      </c>
      <c r="H10" s="6">
        <f>INDEX('2kob.'!B3:G28,MATCH(7,B4:B29,0),6)</f>
        <v>11</v>
      </c>
    </row>
    <row r="11" spans="2:8" x14ac:dyDescent="0.2">
      <c r="B11" s="6">
        <f>RANK('2kob.'!C10,'2kob.'!$C$3:'2kob.'!$C$28,1)+COUNTIF('2kob.'!$C$3:'2kob.'!C10,'2kob.'!C10)-1</f>
        <v>7</v>
      </c>
      <c r="C11" s="5" t="str">
        <f>INDEX('2kob.'!B3:G28,MATCH(8,B4:B29,0),1)</f>
        <v>stalowowolski</v>
      </c>
      <c r="D11" s="6">
        <f>INDEX('2kob.'!B3:G28,MATCH(8,B4:B29,0),2)</f>
        <v>1083</v>
      </c>
      <c r="E11" s="42">
        <f>INDEX('2kob.'!B3:G28,MATCH(8,B4:B29,0),3)</f>
        <v>1062</v>
      </c>
      <c r="F11" s="6">
        <f>INDEX('2kob.'!B3:G28,MATCH(8,B4:B29,0),4)</f>
        <v>21</v>
      </c>
      <c r="G11" s="42">
        <f>INDEX('2kob.'!B3:G28,MATCH(8,B4:B29,0),5)</f>
        <v>1053</v>
      </c>
      <c r="H11" s="6">
        <f>INDEX('2kob.'!B3:G28,MATCH(8,B4:B29,0),6)</f>
        <v>30</v>
      </c>
    </row>
    <row r="12" spans="2:8" x14ac:dyDescent="0.2">
      <c r="B12" s="6">
        <f>RANK('2kob.'!C11,'2kob.'!$C$3:'2kob.'!$C$28,1)+COUNTIF('2kob.'!$C$3:'2kob.'!C11,'2kob.'!C11)-1</f>
        <v>18</v>
      </c>
      <c r="C12" s="5" t="str">
        <f>INDEX('2kob.'!B3:G28,MATCH(9,B4:B29,0),1)</f>
        <v>Przemyśl</v>
      </c>
      <c r="D12" s="6">
        <f>INDEX('2kob.'!B3:G28,MATCH(9,B4:B29,0),2)</f>
        <v>1084</v>
      </c>
      <c r="E12" s="42">
        <f>INDEX('2kob.'!B3:G28,MATCH(9,B4:B29,0),3)</f>
        <v>1081</v>
      </c>
      <c r="F12" s="6">
        <f>INDEX('2kob.'!B3:G28,MATCH(9,B4:B29,0),4)</f>
        <v>3</v>
      </c>
      <c r="G12" s="42">
        <f>INDEX('2kob.'!B3:G28,MATCH(9,B4:B29,0),5)</f>
        <v>1148</v>
      </c>
      <c r="H12" s="6">
        <f>INDEX('2kob.'!B3:G28,MATCH(9,B4:B29,0),6)</f>
        <v>-64</v>
      </c>
    </row>
    <row r="13" spans="2:8" x14ac:dyDescent="0.2">
      <c r="B13" s="6">
        <f>RANK('2kob.'!C12,'2kob.'!$C$3:'2kob.'!$C$28,1)+COUNTIF('2kob.'!$C$3:'2kob.'!C12,'2kob.'!C12)-1</f>
        <v>6</v>
      </c>
      <c r="C13" s="5" t="str">
        <f>INDEX('2kob.'!B3:G28,MATCH(10,B4:B29,0),1)</f>
        <v>łańcucki</v>
      </c>
      <c r="D13" s="6">
        <f>INDEX('2kob.'!B3:G28,MATCH(10,B4:B29,0),2)</f>
        <v>1195</v>
      </c>
      <c r="E13" s="42">
        <f>INDEX('2kob.'!B3:G28,MATCH(10,B4:B29,0),3)</f>
        <v>1140</v>
      </c>
      <c r="F13" s="6">
        <f>INDEX('2kob.'!B3:G28,MATCH(10,B4:B29,0),4)</f>
        <v>55</v>
      </c>
      <c r="G13" s="42">
        <f>INDEX('2kob.'!B3:G28,MATCH(10,B4:B29,0),5)</f>
        <v>1214</v>
      </c>
      <c r="H13" s="6">
        <f>INDEX('2kob.'!B3:G28,MATCH(10,B4:B29,0),6)</f>
        <v>-19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1304</v>
      </c>
      <c r="E14" s="42">
        <f>INDEX('2kob.'!B3:G28,MATCH(11,B4:B29,0),3)</f>
        <v>1255</v>
      </c>
      <c r="F14" s="6">
        <f>INDEX('2kob.'!B3:G28,MATCH(11,B4:B29,0),4)</f>
        <v>49</v>
      </c>
      <c r="G14" s="42">
        <f>INDEX('2kob.'!B3:G28,MATCH(11,B4:B29,0),5)</f>
        <v>1186</v>
      </c>
      <c r="H14" s="6">
        <f>INDEX('2kob.'!B3:G28,MATCH(11,B4:B29,0),6)</f>
        <v>118</v>
      </c>
    </row>
    <row r="15" spans="2:8" x14ac:dyDescent="0.2">
      <c r="B15" s="6">
        <f>RANK('2kob.'!C14,'2kob.'!$C$3:'2kob.'!$C$28,1)+COUNTIF('2kob.'!$C$3:'2kob.'!C14,'2kob.'!C14)-1</f>
        <v>17</v>
      </c>
      <c r="C15" s="5" t="str">
        <f>INDEX('2kob.'!B3:G28,MATCH(12,B4:B29,0),1)</f>
        <v>dębicki</v>
      </c>
      <c r="D15" s="6">
        <f>INDEX('2kob.'!B3:G28,MATCH(12,B4:B29,0),2)</f>
        <v>1355</v>
      </c>
      <c r="E15" s="42">
        <f>INDEX('2kob.'!B3:G28,MATCH(12,B4:B29,0),3)</f>
        <v>1353</v>
      </c>
      <c r="F15" s="6">
        <f>INDEX('2kob.'!B3:G28,MATCH(12,B4:B29,0),4)</f>
        <v>2</v>
      </c>
      <c r="G15" s="42">
        <f>INDEX('2kob.'!B3:G28,MATCH(12,B4:B29,0),5)</f>
        <v>1432</v>
      </c>
      <c r="H15" s="6">
        <f>INDEX('2kob.'!B3:G28,MATCH(12,B4:B29,0),6)</f>
        <v>-77</v>
      </c>
    </row>
    <row r="16" spans="2:8" x14ac:dyDescent="0.2">
      <c r="B16" s="6">
        <f>RANK('2kob.'!C15,'2kob.'!$C$3:'2kob.'!$C$28,1)+COUNTIF('2kob.'!$C$3:'2kob.'!C15,'2kob.'!C15)-1</f>
        <v>15</v>
      </c>
      <c r="C16" s="5" t="str">
        <f>INDEX('2kob.'!B3:G28,MATCH(13,B4:B29,0),1)</f>
        <v>ropczycko-sędziszowski</v>
      </c>
      <c r="D16" s="6">
        <f>INDEX('2kob.'!B3:G28,MATCH(13,B4:B29,0),2)</f>
        <v>1378</v>
      </c>
      <c r="E16" s="42">
        <f>INDEX('2kob.'!B3:G28,MATCH(13,B4:B29,0),3)</f>
        <v>1357</v>
      </c>
      <c r="F16" s="6">
        <f>INDEX('2kob.'!B3:G28,MATCH(13,B4:B29,0),4)</f>
        <v>21</v>
      </c>
      <c r="G16" s="42">
        <f>INDEX('2kob.'!B3:G28,MATCH(13,B4:B29,0),5)</f>
        <v>1353</v>
      </c>
      <c r="H16" s="6">
        <f>INDEX('2kob.'!B3:G28,MATCH(13,B4:B29,0),6)</f>
        <v>25</v>
      </c>
    </row>
    <row r="17" spans="2:8" x14ac:dyDescent="0.2">
      <c r="B17" s="6">
        <f>RANK('2kob.'!C16,'2kob.'!$C$3:'2kob.'!$C$28,1)+COUNTIF('2kob.'!$C$3:'2kob.'!C16,'2kob.'!C16)-1</f>
        <v>16</v>
      </c>
      <c r="C17" s="5" t="str">
        <f>INDEX('2kob.'!B3:G28,MATCH(14,B4:B29,0),1)</f>
        <v>sanocki</v>
      </c>
      <c r="D17" s="6">
        <f>INDEX('2kob.'!B3:G28,MATCH(14,B4:B29,0),2)</f>
        <v>1404</v>
      </c>
      <c r="E17" s="42">
        <f>INDEX('2kob.'!B3:G28,MATCH(14,B4:B29,0),3)</f>
        <v>1368</v>
      </c>
      <c r="F17" s="6">
        <f>INDEX('2kob.'!B3:G28,MATCH(14,B4:B29,0),4)</f>
        <v>36</v>
      </c>
      <c r="G17" s="42">
        <f>INDEX('2kob.'!B3:G28,MATCH(14,B4:B29,0),5)</f>
        <v>1337</v>
      </c>
      <c r="H17" s="6">
        <f>INDEX('2kob.'!B3:G28,MATCH(14,B4:B29,0),6)</f>
        <v>67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niżański</v>
      </c>
      <c r="D18" s="6">
        <f>INDEX('2kob.'!B3:G28,MATCH(15,B4:B29,0),2)</f>
        <v>1452</v>
      </c>
      <c r="E18" s="42">
        <f>INDEX('2kob.'!B3:G28,MATCH(15,B4:B29,0),3)</f>
        <v>1428</v>
      </c>
      <c r="F18" s="6">
        <f>INDEX('2kob.'!B3:G28,MATCH(15,B4:B29,0),4)</f>
        <v>24</v>
      </c>
      <c r="G18" s="42">
        <f>INDEX('2kob.'!B3:G28,MATCH(15,B4:B29,0),5)</f>
        <v>1532</v>
      </c>
      <c r="H18" s="6">
        <f>INDEX('2kob.'!B3:G28,MATCH(15,B4:B29,0),6)</f>
        <v>-80</v>
      </c>
    </row>
    <row r="19" spans="2:8" x14ac:dyDescent="0.2">
      <c r="B19" s="6">
        <f>RANK('2kob.'!C18,'2kob.'!$C$3:'2kob.'!$C$28,1)+COUNTIF('2kob.'!$C$3:'2kob.'!C18,'2kob.'!C18)-1</f>
        <v>13</v>
      </c>
      <c r="C19" s="5" t="str">
        <f>INDEX('2kob.'!B3:G28,MATCH(16,B4:B29,0),1)</f>
        <v>przemyski</v>
      </c>
      <c r="D19" s="6">
        <f>INDEX('2kob.'!B3:G28,MATCH(16,B4:B29,0),2)</f>
        <v>1459</v>
      </c>
      <c r="E19" s="42">
        <f>INDEX('2kob.'!B3:G28,MATCH(16,B4:B29,0),3)</f>
        <v>1394</v>
      </c>
      <c r="F19" s="6">
        <f>INDEX('2kob.'!B3:G28,MATCH(16,B4:B29,0),4)</f>
        <v>65</v>
      </c>
      <c r="G19" s="42">
        <f>INDEX('2kob.'!B3:G28,MATCH(16,B4:B29,0),5)</f>
        <v>1484</v>
      </c>
      <c r="H19" s="6">
        <f>INDEX('2kob.'!B3:G28,MATCH(16,B4:B29,0),6)</f>
        <v>-25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mielecki</v>
      </c>
      <c r="D20" s="6">
        <f>INDEX('2kob.'!B3:G28,MATCH(17,B4:B29,0),2)</f>
        <v>1506</v>
      </c>
      <c r="E20" s="42">
        <f>INDEX('2kob.'!B3:G28,MATCH(17,B4:B29,0),3)</f>
        <v>1480</v>
      </c>
      <c r="F20" s="6">
        <f>INDEX('2kob.'!B3:G28,MATCH(17,B4:B29,0),4)</f>
        <v>26</v>
      </c>
      <c r="G20" s="42">
        <f>INDEX('2kob.'!B3:G28,MATCH(17,B4:B29,0),5)</f>
        <v>1467</v>
      </c>
      <c r="H20" s="6">
        <f>INDEX('2kob.'!B3:G28,MATCH(17,B4:B29,0),6)</f>
        <v>39</v>
      </c>
    </row>
    <row r="21" spans="2:8" x14ac:dyDescent="0.2">
      <c r="B21" s="6">
        <f>RANK('2kob.'!C20,'2kob.'!$C$3:'2kob.'!$C$28,1)+COUNTIF('2kob.'!$C$3:'2kob.'!C20,'2kob.'!C20)-1</f>
        <v>14</v>
      </c>
      <c r="C21" s="5" t="str">
        <f>INDEX('2kob.'!B3:G28,MATCH(18,B4:B29,0),1)</f>
        <v>leżajski</v>
      </c>
      <c r="D21" s="6">
        <f>INDEX('2kob.'!B3:G28,MATCH(18,B4:B29,0),2)</f>
        <v>1524</v>
      </c>
      <c r="E21" s="42">
        <f>INDEX('2kob.'!B3:G28,MATCH(18,B4:B29,0),3)</f>
        <v>1473</v>
      </c>
      <c r="F21" s="6">
        <f>INDEX('2kob.'!B3:G28,MATCH(18,B4:B29,0),4)</f>
        <v>51</v>
      </c>
      <c r="G21" s="42">
        <f>INDEX('2kob.'!B3:G28,MATCH(18,B4:B29,0),5)</f>
        <v>1633</v>
      </c>
      <c r="H21" s="6">
        <f>INDEX('2kob.'!B3:G28,MATCH(18,B4:B29,0),6)</f>
        <v>-109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strzyżowski</v>
      </c>
      <c r="D22" s="6">
        <f>INDEX('2kob.'!B3:G28,MATCH(19,B4:B29,0),2)</f>
        <v>1569</v>
      </c>
      <c r="E22" s="42">
        <f>INDEX('2kob.'!B3:G28,MATCH(19,B4:B29,0),3)</f>
        <v>1516</v>
      </c>
      <c r="F22" s="6">
        <f>INDEX('2kob.'!B3:G28,MATCH(19,B4:B29,0),4)</f>
        <v>53</v>
      </c>
      <c r="G22" s="42">
        <f>INDEX('2kob.'!B3:G28,MATCH(19,B4:B29,0),5)</f>
        <v>1579</v>
      </c>
      <c r="H22" s="6">
        <f>INDEX('2kob.'!B3:G28,MATCH(19,B4:B29,0),6)</f>
        <v>-10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1750</v>
      </c>
      <c r="E23" s="42">
        <f>INDEX('2kob.'!B3:G28,MATCH(20,B4:B29,0),3)</f>
        <v>1733</v>
      </c>
      <c r="F23" s="6">
        <f>INDEX('2kob.'!B3:G28,MATCH(20,B4:B29,0),4)</f>
        <v>17</v>
      </c>
      <c r="G23" s="42">
        <f>INDEX('2kob.'!B3:G28,MATCH(20,B4:B29,0),5)</f>
        <v>1838</v>
      </c>
      <c r="H23" s="6">
        <f>INDEX('2kob.'!B3:G28,MATCH(20,B4:B29,0),6)</f>
        <v>-88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1833</v>
      </c>
      <c r="E24" s="42">
        <f>INDEX('2kob.'!B3:G28,MATCH(21,B4:B29,0),3)</f>
        <v>1811</v>
      </c>
      <c r="F24" s="6">
        <f>INDEX('2kob.'!B3:G28,MATCH(21,B4:B29,0),4)</f>
        <v>22</v>
      </c>
      <c r="G24" s="42">
        <f>INDEX('2kob.'!B3:G28,MATCH(21,B4:B29,0),5)</f>
        <v>1917</v>
      </c>
      <c r="H24" s="6">
        <f>INDEX('2kob.'!B3:G28,MATCH(21,B4:B29,0),6)</f>
        <v>-84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2159</v>
      </c>
      <c r="E25" s="42">
        <f>INDEX('2kob.'!B3:G28,MATCH(22,B4:B29,0),3)</f>
        <v>2138</v>
      </c>
      <c r="F25" s="6">
        <f>INDEX('2kob.'!B3:G28,MATCH(22,B4:B29,0),4)</f>
        <v>21</v>
      </c>
      <c r="G25" s="42">
        <f>INDEX('2kob.'!B3:G28,MATCH(22,B4:B29,0),5)</f>
        <v>2308</v>
      </c>
      <c r="H25" s="6">
        <f>INDEX('2kob.'!B3:G28,MATCH(22,B4:B29,0),6)</f>
        <v>-149</v>
      </c>
    </row>
    <row r="26" spans="2:8" x14ac:dyDescent="0.2">
      <c r="B26" s="6">
        <f>RANK('2kob.'!C25,'2kob.'!$C$3:'2kob.'!$C$28,1)+COUNTIF('2kob.'!$C$3:'2kob.'!C25,'2kob.'!C25)-1</f>
        <v>9</v>
      </c>
      <c r="C26" s="5" t="str">
        <f>INDEX('2kob.'!B3:G28,MATCH(23,B4:B29,0),1)</f>
        <v>jarosławski</v>
      </c>
      <c r="D26" s="6">
        <f>INDEX('2kob.'!B3:G28,MATCH(23,B4:B29,0),2)</f>
        <v>2302</v>
      </c>
      <c r="E26" s="42">
        <f>INDEX('2kob.'!B3:G28,MATCH(23,B4:B29,0),3)</f>
        <v>2207</v>
      </c>
      <c r="F26" s="6">
        <f>INDEX('2kob.'!B3:G28,MATCH(23,B4:B29,0),4)</f>
        <v>95</v>
      </c>
      <c r="G26" s="42">
        <f>INDEX('2kob.'!B3:G28,MATCH(23,B4:B29,0),5)</f>
        <v>2221</v>
      </c>
      <c r="H26" s="6">
        <f>INDEX('2kob.'!B3:G28,MATCH(23,B4:B29,0),6)</f>
        <v>81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2475</v>
      </c>
      <c r="E27" s="42">
        <f>INDEX('2kob.'!B3:G28,MATCH(24,B4:B29,0),3)</f>
        <v>2472</v>
      </c>
      <c r="F27" s="6">
        <f>INDEX('2kob.'!B3:G28,MATCH(24,B4:B29,0),4)</f>
        <v>3</v>
      </c>
      <c r="G27" s="42">
        <f>INDEX('2kob.'!B3:G28,MATCH(24,B4:B29,0),5)</f>
        <v>2557</v>
      </c>
      <c r="H27" s="6">
        <f>INDEX('2kob.'!B3:G28,MATCH(24,B4:B29,0),6)</f>
        <v>-82</v>
      </c>
    </row>
    <row r="28" spans="2:8" x14ac:dyDescent="0.2">
      <c r="B28" s="6">
        <f>RANK('2kob.'!C27,'2kob.'!$C$3:'2kob.'!$C$28,1)+COUNTIF('2kob.'!$C$3:'2kob.'!C27,'2kob.'!C27)-1</f>
        <v>2</v>
      </c>
      <c r="C28" s="5" t="str">
        <f>INDEX('2kob.'!B3:G28,MATCH(25,B4:B29,0),1)</f>
        <v>jasielski</v>
      </c>
      <c r="D28" s="6">
        <f>INDEX('2kob.'!B3:G28,MATCH(25,B4:B29,0),2)</f>
        <v>2797</v>
      </c>
      <c r="E28" s="42">
        <f>INDEX('2kob.'!B3:G28,MATCH(25,B4:B29,0),3)</f>
        <v>2796</v>
      </c>
      <c r="F28" s="6">
        <f>INDEX('2kob.'!B3:G28,MATCH(25,B4:B29,0),4)</f>
        <v>1</v>
      </c>
      <c r="G28" s="42">
        <f>INDEX('2kob.'!B3:G28,MATCH(25,B4:B29,0),5)</f>
        <v>2888</v>
      </c>
      <c r="H28" s="6">
        <f>INDEX('2kob.'!B3:G28,MATCH(25,B4:B29,0),6)</f>
        <v>-91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33994</v>
      </c>
      <c r="E29" s="44">
        <f>INDEX('2kob.'!B3:G28,MATCH(26,B4:B29,0),3)</f>
        <v>33352</v>
      </c>
      <c r="F29" s="40">
        <f>INDEX('2kob.'!B3:G28,MATCH(26,B4:B29,0),4)</f>
        <v>642</v>
      </c>
      <c r="G29" s="44">
        <f>INDEX('2kob.'!B3:G28,MATCH(26,B4:B29,0),5)</f>
        <v>34679</v>
      </c>
      <c r="H29" s="40">
        <f>INDEX('2kob.'!B3:G28,MATCH(26,B4:B29,0),6)</f>
        <v>-685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82</v>
      </c>
      <c r="D2" s="38" t="s">
        <v>81</v>
      </c>
      <c r="E2" s="37" t="s">
        <v>28</v>
      </c>
      <c r="F2" s="38" t="s">
        <v>83</v>
      </c>
      <c r="G2" s="37" t="s">
        <v>26</v>
      </c>
      <c r="I2" s="36" t="s">
        <v>27</v>
      </c>
      <c r="J2" s="37" t="str">
        <f>T('1bezr.'!C2)</f>
        <v>liczba bezrobotnych ogółem stan na 31-12-'24 r.</v>
      </c>
      <c r="K2" s="37" t="str">
        <f>T(C2)</f>
        <v>liczba bezrobotnych zam. na wsi stan na 31-12-'24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725</v>
      </c>
      <c r="D3" s="42">
        <v>688</v>
      </c>
      <c r="E3" s="6">
        <f t="shared" ref="E3:E23" si="0">SUM(C3)-D3</f>
        <v>37</v>
      </c>
      <c r="F3" s="42">
        <v>678</v>
      </c>
      <c r="G3" s="6">
        <f t="shared" ref="G3:G23" si="1">SUM(C3)-F3</f>
        <v>47</v>
      </c>
      <c r="H3" s="7"/>
      <c r="I3" s="5" t="s">
        <v>0</v>
      </c>
      <c r="J3" s="6">
        <f>SUM('1bezr.'!C3)</f>
        <v>1130</v>
      </c>
      <c r="K3" s="6">
        <f>SUM(C3)</f>
        <v>725</v>
      </c>
      <c r="L3" s="8">
        <f t="shared" ref="L3:L23" si="2">SUM(K3)/J3*100</f>
        <v>64.159292035398224</v>
      </c>
    </row>
    <row r="4" spans="1:12" x14ac:dyDescent="0.2">
      <c r="A4" s="3">
        <v>2</v>
      </c>
      <c r="B4" s="5" t="s">
        <v>1</v>
      </c>
      <c r="C4" s="14">
        <v>3473</v>
      </c>
      <c r="D4" s="42">
        <v>3381</v>
      </c>
      <c r="E4" s="6">
        <f t="shared" si="0"/>
        <v>92</v>
      </c>
      <c r="F4" s="42">
        <v>3552</v>
      </c>
      <c r="G4" s="6">
        <f t="shared" si="1"/>
        <v>-79</v>
      </c>
      <c r="H4" s="7"/>
      <c r="I4" s="5" t="s">
        <v>1</v>
      </c>
      <c r="J4" s="6">
        <f>SUM('1bezr.'!C4)</f>
        <v>3780</v>
      </c>
      <c r="K4" s="6">
        <f t="shared" ref="K4:K22" si="3">SUM(C4)</f>
        <v>3473</v>
      </c>
      <c r="L4" s="8">
        <f t="shared" si="2"/>
        <v>91.878306878306887</v>
      </c>
    </row>
    <row r="5" spans="1:12" x14ac:dyDescent="0.2">
      <c r="A5" s="3">
        <v>3</v>
      </c>
      <c r="B5" s="5" t="s">
        <v>2</v>
      </c>
      <c r="C5" s="15">
        <v>1361</v>
      </c>
      <c r="D5" s="42">
        <v>1345</v>
      </c>
      <c r="E5" s="6">
        <f t="shared" si="0"/>
        <v>16</v>
      </c>
      <c r="F5" s="42">
        <v>1433</v>
      </c>
      <c r="G5" s="6">
        <f t="shared" si="1"/>
        <v>-72</v>
      </c>
      <c r="H5" s="7"/>
      <c r="I5" s="5" t="s">
        <v>2</v>
      </c>
      <c r="J5" s="6">
        <f>SUM('1bezr.'!C5)</f>
        <v>2247</v>
      </c>
      <c r="K5" s="6">
        <f t="shared" si="3"/>
        <v>1361</v>
      </c>
      <c r="L5" s="8">
        <f t="shared" si="2"/>
        <v>60.569648420115705</v>
      </c>
    </row>
    <row r="6" spans="1:12" x14ac:dyDescent="0.2">
      <c r="A6" s="3">
        <v>4</v>
      </c>
      <c r="B6" s="5" t="s">
        <v>3</v>
      </c>
      <c r="C6" s="15">
        <v>2792</v>
      </c>
      <c r="D6" s="42">
        <v>2643</v>
      </c>
      <c r="E6" s="6">
        <f t="shared" si="0"/>
        <v>149</v>
      </c>
      <c r="F6" s="42">
        <v>2665</v>
      </c>
      <c r="G6" s="6">
        <f t="shared" si="1"/>
        <v>127</v>
      </c>
      <c r="H6" s="7"/>
      <c r="I6" s="5" t="s">
        <v>3</v>
      </c>
      <c r="J6" s="6">
        <f>SUM('1bezr.'!C6)</f>
        <v>4489</v>
      </c>
      <c r="K6" s="6">
        <f t="shared" si="3"/>
        <v>2792</v>
      </c>
      <c r="L6" s="8">
        <f t="shared" si="2"/>
        <v>62.196480285141455</v>
      </c>
    </row>
    <row r="7" spans="1:12" x14ac:dyDescent="0.2">
      <c r="A7" s="3">
        <v>5</v>
      </c>
      <c r="B7" s="5" t="s">
        <v>4</v>
      </c>
      <c r="C7" s="15">
        <v>3508</v>
      </c>
      <c r="D7" s="42">
        <v>3434</v>
      </c>
      <c r="E7" s="6">
        <f t="shared" si="0"/>
        <v>74</v>
      </c>
      <c r="F7" s="42">
        <v>3641</v>
      </c>
      <c r="G7" s="6">
        <f t="shared" si="1"/>
        <v>-133</v>
      </c>
      <c r="H7" s="7"/>
      <c r="I7" s="5" t="s">
        <v>4</v>
      </c>
      <c r="J7" s="6">
        <f>SUM('1bezr.'!C7)</f>
        <v>4919</v>
      </c>
      <c r="K7" s="6">
        <f t="shared" si="3"/>
        <v>3508</v>
      </c>
      <c r="L7" s="8">
        <f t="shared" si="2"/>
        <v>71.315307989428746</v>
      </c>
    </row>
    <row r="8" spans="1:12" x14ac:dyDescent="0.2">
      <c r="A8" s="3">
        <v>6</v>
      </c>
      <c r="B8" s="5" t="s">
        <v>5</v>
      </c>
      <c r="C8" s="15">
        <v>1328</v>
      </c>
      <c r="D8" s="42">
        <v>1319</v>
      </c>
      <c r="E8" s="6">
        <f t="shared" si="0"/>
        <v>9</v>
      </c>
      <c r="F8" s="42">
        <v>1319</v>
      </c>
      <c r="G8" s="6">
        <f t="shared" si="1"/>
        <v>9</v>
      </c>
      <c r="H8" s="7"/>
      <c r="I8" s="5" t="s">
        <v>5</v>
      </c>
      <c r="J8" s="6">
        <f>SUM('1bezr.'!C8)</f>
        <v>1536</v>
      </c>
      <c r="K8" s="6">
        <f t="shared" si="3"/>
        <v>1328</v>
      </c>
      <c r="L8" s="8">
        <f t="shared" si="2"/>
        <v>86.458333333333343</v>
      </c>
    </row>
    <row r="9" spans="1:12" x14ac:dyDescent="0.2">
      <c r="A9" s="3">
        <v>7</v>
      </c>
      <c r="B9" s="9" t="s">
        <v>6</v>
      </c>
      <c r="C9" s="16">
        <v>2130</v>
      </c>
      <c r="D9" s="42">
        <v>2050</v>
      </c>
      <c r="E9" s="6">
        <f t="shared" si="0"/>
        <v>80</v>
      </c>
      <c r="F9" s="42">
        <v>2008</v>
      </c>
      <c r="G9" s="6">
        <f t="shared" si="1"/>
        <v>122</v>
      </c>
      <c r="H9" s="7"/>
      <c r="I9" s="9" t="s">
        <v>6</v>
      </c>
      <c r="J9" s="6">
        <f>SUM('1bezr.'!C9)</f>
        <v>2356</v>
      </c>
      <c r="K9" s="6">
        <f t="shared" si="3"/>
        <v>2130</v>
      </c>
      <c r="L9" s="8">
        <f t="shared" si="2"/>
        <v>90.407470288624793</v>
      </c>
    </row>
    <row r="10" spans="1:12" x14ac:dyDescent="0.2">
      <c r="A10" s="3">
        <v>8</v>
      </c>
      <c r="B10" s="5" t="s">
        <v>7</v>
      </c>
      <c r="C10" s="17">
        <v>1439</v>
      </c>
      <c r="D10" s="42">
        <v>1386</v>
      </c>
      <c r="E10" s="6">
        <f t="shared" si="0"/>
        <v>53</v>
      </c>
      <c r="F10" s="42">
        <v>1439</v>
      </c>
      <c r="G10" s="6">
        <f>SUM(C10)-F10</f>
        <v>0</v>
      </c>
      <c r="H10" s="7"/>
      <c r="I10" s="5" t="s">
        <v>7</v>
      </c>
      <c r="J10" s="6">
        <f>SUM('1bezr.'!C10)</f>
        <v>1726</v>
      </c>
      <c r="K10" s="6">
        <f>SUM(C10)</f>
        <v>1439</v>
      </c>
      <c r="L10" s="8">
        <f t="shared" si="2"/>
        <v>83.371958285052145</v>
      </c>
    </row>
    <row r="11" spans="1:12" x14ac:dyDescent="0.2">
      <c r="A11" s="3">
        <v>9</v>
      </c>
      <c r="B11" s="5" t="s">
        <v>8</v>
      </c>
      <c r="C11" s="17">
        <v>2255</v>
      </c>
      <c r="D11" s="42">
        <v>2178</v>
      </c>
      <c r="E11" s="6">
        <f t="shared" si="0"/>
        <v>77</v>
      </c>
      <c r="F11" s="42">
        <v>2364</v>
      </c>
      <c r="G11" s="6">
        <f t="shared" si="1"/>
        <v>-109</v>
      </c>
      <c r="H11" s="7"/>
      <c r="I11" s="5" t="s">
        <v>8</v>
      </c>
      <c r="J11" s="6">
        <f>SUM('1bezr.'!C11)</f>
        <v>2975</v>
      </c>
      <c r="K11" s="6">
        <f t="shared" si="3"/>
        <v>2255</v>
      </c>
      <c r="L11" s="8">
        <f t="shared" si="2"/>
        <v>75.798319327731093</v>
      </c>
    </row>
    <row r="12" spans="1:12" x14ac:dyDescent="0.2">
      <c r="A12" s="3">
        <v>10</v>
      </c>
      <c r="B12" s="5" t="s">
        <v>9</v>
      </c>
      <c r="C12" s="17">
        <v>1117</v>
      </c>
      <c r="D12" s="42">
        <v>1103</v>
      </c>
      <c r="E12" s="6">
        <f t="shared" si="0"/>
        <v>14</v>
      </c>
      <c r="F12" s="42">
        <v>1251</v>
      </c>
      <c r="G12" s="6">
        <f t="shared" si="1"/>
        <v>-134</v>
      </c>
      <c r="H12" s="7"/>
      <c r="I12" s="5" t="s">
        <v>9</v>
      </c>
      <c r="J12" s="6">
        <f>SUM('1bezr.'!C12)</f>
        <v>1704</v>
      </c>
      <c r="K12" s="6">
        <f t="shared" si="3"/>
        <v>1117</v>
      </c>
      <c r="L12" s="8">
        <f t="shared" si="2"/>
        <v>65.551643192488257</v>
      </c>
    </row>
    <row r="13" spans="1:12" x14ac:dyDescent="0.2">
      <c r="A13" s="3">
        <v>11</v>
      </c>
      <c r="B13" s="5" t="s">
        <v>10</v>
      </c>
      <c r="C13" s="17">
        <v>1958</v>
      </c>
      <c r="D13" s="42">
        <v>1885</v>
      </c>
      <c r="E13" s="6">
        <f t="shared" si="0"/>
        <v>73</v>
      </c>
      <c r="F13" s="42">
        <v>2028</v>
      </c>
      <c r="G13" s="6">
        <f t="shared" si="1"/>
        <v>-70</v>
      </c>
      <c r="H13" s="7"/>
      <c r="I13" s="5" t="s">
        <v>10</v>
      </c>
      <c r="J13" s="6">
        <f>SUM('1bezr.'!C13)</f>
        <v>2519</v>
      </c>
      <c r="K13" s="6">
        <f t="shared" si="3"/>
        <v>1958</v>
      </c>
      <c r="L13" s="8">
        <f t="shared" si="2"/>
        <v>77.729257641921407</v>
      </c>
    </row>
    <row r="14" spans="1:12" x14ac:dyDescent="0.2">
      <c r="A14" s="3">
        <v>12</v>
      </c>
      <c r="B14" s="5" t="s">
        <v>11</v>
      </c>
      <c r="C14" s="17">
        <v>1572</v>
      </c>
      <c r="D14" s="42">
        <v>1525</v>
      </c>
      <c r="E14" s="6">
        <f t="shared" si="0"/>
        <v>47</v>
      </c>
      <c r="F14" s="42">
        <v>1546</v>
      </c>
      <c r="G14" s="6">
        <f t="shared" si="1"/>
        <v>26</v>
      </c>
      <c r="H14" s="7"/>
      <c r="I14" s="5" t="s">
        <v>11</v>
      </c>
      <c r="J14" s="6">
        <f>SUM('1bezr.'!C14)</f>
        <v>3075</v>
      </c>
      <c r="K14" s="6">
        <f t="shared" si="3"/>
        <v>1572</v>
      </c>
      <c r="L14" s="8">
        <f t="shared" si="2"/>
        <v>51.121951219512198</v>
      </c>
    </row>
    <row r="15" spans="1:12" x14ac:dyDescent="0.2">
      <c r="A15" s="3">
        <v>13</v>
      </c>
      <c r="B15" s="5" t="s">
        <v>12</v>
      </c>
      <c r="C15" s="17">
        <v>1913</v>
      </c>
      <c r="D15" s="42">
        <v>1854</v>
      </c>
      <c r="E15" s="6">
        <f t="shared" si="0"/>
        <v>59</v>
      </c>
      <c r="F15" s="42">
        <v>2002</v>
      </c>
      <c r="G15" s="6">
        <f t="shared" si="1"/>
        <v>-89</v>
      </c>
      <c r="H15" s="7"/>
      <c r="I15" s="5" t="s">
        <v>12</v>
      </c>
      <c r="J15" s="6">
        <f>SUM('1bezr.'!C15)</f>
        <v>2929</v>
      </c>
      <c r="K15" s="6">
        <f t="shared" si="3"/>
        <v>1913</v>
      </c>
      <c r="L15" s="8">
        <f t="shared" si="2"/>
        <v>65.31239330829635</v>
      </c>
    </row>
    <row r="16" spans="1:12" x14ac:dyDescent="0.2">
      <c r="A16" s="3">
        <v>14</v>
      </c>
      <c r="B16" s="5" t="s">
        <v>13</v>
      </c>
      <c r="C16" s="17">
        <v>2885</v>
      </c>
      <c r="D16" s="42">
        <v>2736</v>
      </c>
      <c r="E16" s="6">
        <f t="shared" si="0"/>
        <v>149</v>
      </c>
      <c r="F16" s="42">
        <v>2944</v>
      </c>
      <c r="G16" s="6">
        <f t="shared" si="1"/>
        <v>-59</v>
      </c>
      <c r="H16" s="7"/>
      <c r="I16" s="5" t="s">
        <v>13</v>
      </c>
      <c r="J16" s="6">
        <f>SUM('1bezr.'!C16)</f>
        <v>2958</v>
      </c>
      <c r="K16" s="6">
        <f t="shared" si="3"/>
        <v>2885</v>
      </c>
      <c r="L16" s="8">
        <f t="shared" si="2"/>
        <v>97.532116294793781</v>
      </c>
    </row>
    <row r="17" spans="1:13" x14ac:dyDescent="0.2">
      <c r="A17" s="3">
        <v>15</v>
      </c>
      <c r="B17" s="5" t="s">
        <v>14</v>
      </c>
      <c r="C17" s="17">
        <v>2528</v>
      </c>
      <c r="D17" s="42">
        <v>2469</v>
      </c>
      <c r="E17" s="6">
        <f t="shared" si="0"/>
        <v>59</v>
      </c>
      <c r="F17" s="42">
        <v>2615</v>
      </c>
      <c r="G17" s="6">
        <f t="shared" si="1"/>
        <v>-87</v>
      </c>
      <c r="H17" s="7"/>
      <c r="I17" s="5" t="s">
        <v>14</v>
      </c>
      <c r="J17" s="6">
        <f>SUM('1bezr.'!C17)</f>
        <v>3337</v>
      </c>
      <c r="K17" s="6">
        <f t="shared" si="3"/>
        <v>2528</v>
      </c>
      <c r="L17" s="8">
        <f t="shared" si="2"/>
        <v>75.756667665567875</v>
      </c>
      <c r="M17" s="10"/>
    </row>
    <row r="18" spans="1:13" x14ac:dyDescent="0.2">
      <c r="A18" s="3">
        <v>16</v>
      </c>
      <c r="B18" s="5" t="s">
        <v>15</v>
      </c>
      <c r="C18" s="17">
        <v>1742</v>
      </c>
      <c r="D18" s="42">
        <v>1661</v>
      </c>
      <c r="E18" s="6">
        <f t="shared" si="0"/>
        <v>81</v>
      </c>
      <c r="F18" s="42">
        <v>1660</v>
      </c>
      <c r="G18" s="6">
        <f t="shared" si="1"/>
        <v>82</v>
      </c>
      <c r="H18" s="7"/>
      <c r="I18" s="5" t="s">
        <v>15</v>
      </c>
      <c r="J18" s="6">
        <f>SUM('1bezr.'!C18)</f>
        <v>2673</v>
      </c>
      <c r="K18" s="6">
        <f t="shared" si="3"/>
        <v>1742</v>
      </c>
      <c r="L18" s="8">
        <f t="shared" si="2"/>
        <v>65.170220725776289</v>
      </c>
    </row>
    <row r="19" spans="1:13" x14ac:dyDescent="0.2">
      <c r="A19" s="3">
        <v>17</v>
      </c>
      <c r="B19" s="5" t="s">
        <v>16</v>
      </c>
      <c r="C19" s="17">
        <v>3586</v>
      </c>
      <c r="D19" s="42">
        <v>3531</v>
      </c>
      <c r="E19" s="6">
        <f t="shared" si="0"/>
        <v>55</v>
      </c>
      <c r="F19" s="42">
        <v>3698</v>
      </c>
      <c r="G19" s="6">
        <f t="shared" si="1"/>
        <v>-112</v>
      </c>
      <c r="H19" s="7"/>
      <c r="I19" s="5" t="s">
        <v>16</v>
      </c>
      <c r="J19" s="6">
        <f>SUM('1bezr.'!C19)</f>
        <v>4540</v>
      </c>
      <c r="K19" s="6">
        <f t="shared" si="3"/>
        <v>3586</v>
      </c>
      <c r="L19" s="8">
        <f t="shared" si="2"/>
        <v>78.986784140969164</v>
      </c>
    </row>
    <row r="20" spans="1:13" x14ac:dyDescent="0.2">
      <c r="A20" s="3">
        <v>18</v>
      </c>
      <c r="B20" s="5" t="s">
        <v>17</v>
      </c>
      <c r="C20" s="17">
        <v>1712</v>
      </c>
      <c r="D20" s="42">
        <v>1659</v>
      </c>
      <c r="E20" s="6">
        <f t="shared" si="0"/>
        <v>53</v>
      </c>
      <c r="F20" s="42">
        <v>1593</v>
      </c>
      <c r="G20" s="6">
        <f t="shared" si="1"/>
        <v>119</v>
      </c>
      <c r="H20" s="7"/>
      <c r="I20" s="5" t="s">
        <v>17</v>
      </c>
      <c r="J20" s="6">
        <f>SUM('1bezr.'!C20)</f>
        <v>2881</v>
      </c>
      <c r="K20" s="6">
        <f t="shared" si="3"/>
        <v>1712</v>
      </c>
      <c r="L20" s="8">
        <f t="shared" si="2"/>
        <v>59.423811176674768</v>
      </c>
    </row>
    <row r="21" spans="1:13" x14ac:dyDescent="0.2">
      <c r="A21" s="3">
        <v>19</v>
      </c>
      <c r="B21" s="5" t="s">
        <v>18</v>
      </c>
      <c r="C21" s="17">
        <v>824</v>
      </c>
      <c r="D21" s="42">
        <v>813</v>
      </c>
      <c r="E21" s="6">
        <f t="shared" si="0"/>
        <v>11</v>
      </c>
      <c r="F21" s="42">
        <v>755</v>
      </c>
      <c r="G21" s="6">
        <f t="shared" si="1"/>
        <v>69</v>
      </c>
      <c r="H21" s="7"/>
      <c r="I21" s="5" t="s">
        <v>18</v>
      </c>
      <c r="J21" s="6">
        <f>SUM('1bezr.'!C21)</f>
        <v>2098</v>
      </c>
      <c r="K21" s="6">
        <f t="shared" si="3"/>
        <v>824</v>
      </c>
      <c r="L21" s="8">
        <f t="shared" si="2"/>
        <v>39.275500476644424</v>
      </c>
    </row>
    <row r="22" spans="1:13" x14ac:dyDescent="0.2">
      <c r="A22" s="3">
        <v>20</v>
      </c>
      <c r="B22" s="5" t="s">
        <v>19</v>
      </c>
      <c r="C22" s="17">
        <v>2778</v>
      </c>
      <c r="D22" s="42">
        <v>2635</v>
      </c>
      <c r="E22" s="6">
        <f t="shared" si="0"/>
        <v>143</v>
      </c>
      <c r="F22" s="42">
        <v>2813</v>
      </c>
      <c r="G22" s="6">
        <f t="shared" si="1"/>
        <v>-35</v>
      </c>
      <c r="H22" s="7"/>
      <c r="I22" s="5" t="s">
        <v>19</v>
      </c>
      <c r="J22" s="6">
        <f>SUM('1bezr.'!C22)</f>
        <v>3113</v>
      </c>
      <c r="K22" s="6">
        <f t="shared" si="3"/>
        <v>2778</v>
      </c>
      <c r="L22" s="8">
        <f t="shared" si="2"/>
        <v>89.238676517828466</v>
      </c>
    </row>
    <row r="23" spans="1:13" x14ac:dyDescent="0.2">
      <c r="A23" s="3">
        <v>21</v>
      </c>
      <c r="B23" s="5" t="s">
        <v>20</v>
      </c>
      <c r="C23" s="17">
        <v>1021</v>
      </c>
      <c r="D23" s="42">
        <v>1004</v>
      </c>
      <c r="E23" s="6">
        <f t="shared" si="0"/>
        <v>17</v>
      </c>
      <c r="F23" s="42">
        <v>1024</v>
      </c>
      <c r="G23" s="6">
        <f t="shared" si="1"/>
        <v>-3</v>
      </c>
      <c r="H23" s="7"/>
      <c r="I23" s="5" t="s">
        <v>20</v>
      </c>
      <c r="J23" s="6">
        <f>SUM('1bezr.'!C23)</f>
        <v>1243</v>
      </c>
      <c r="K23" s="6">
        <f>SUM(C23)</f>
        <v>1021</v>
      </c>
      <c r="L23" s="8">
        <f t="shared" si="2"/>
        <v>82.13998390989542</v>
      </c>
    </row>
    <row r="24" spans="1:13" ht="15" x14ac:dyDescent="0.25">
      <c r="A24" s="3">
        <v>22</v>
      </c>
      <c r="B24" s="39" t="s">
        <v>25</v>
      </c>
      <c r="C24" s="40">
        <f>SUM(C3:C23)</f>
        <v>42647</v>
      </c>
      <c r="D24" s="44">
        <f>SUM(D3:D23)</f>
        <v>41299</v>
      </c>
      <c r="E24" s="40">
        <f>SUM(E3:E23)</f>
        <v>1348</v>
      </c>
      <c r="F24" s="44">
        <f>SUM(F3:F23)</f>
        <v>43028</v>
      </c>
      <c r="G24" s="40">
        <f>SUM(G3:G23)</f>
        <v>-381</v>
      </c>
      <c r="H24" s="7"/>
      <c r="I24" s="5" t="s">
        <v>21</v>
      </c>
      <c r="J24" s="6">
        <f>SUM('1bezr.'!C24)</f>
        <v>814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SUM('1bezr.'!C25)</f>
        <v>2338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4957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999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67336</v>
      </c>
      <c r="K28" s="40">
        <f>SUM(K3:K23)</f>
        <v>42647</v>
      </c>
      <c r="L28" s="46">
        <f>SUM(K28)/J28*100</f>
        <v>63.334620411072827</v>
      </c>
    </row>
    <row r="30" spans="1:13" x14ac:dyDescent="0.2">
      <c r="K30" s="19">
        <f>SUM(K28-J28)</f>
        <v>-24689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31-12-'24 r.</v>
      </c>
      <c r="E3" s="36" t="str">
        <f>T('3bezr. na wsi'!D2)</f>
        <v>liczba bezrobotnych zam. na wsi stan na 30-11-'24 r.</v>
      </c>
      <c r="F3" s="36" t="str">
        <f>T('3bezr. na wsi'!E2)</f>
        <v>wzrost/spadek do poprzedniego  miesiąca</v>
      </c>
      <c r="G3" s="36" t="str">
        <f>T('3bezr. na wsi'!F2)</f>
        <v>liczba bezrobotnych zam. na wsi stan na 31-12-'23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725</v>
      </c>
      <c r="E4" s="42">
        <f>INDEX('3bezr. na wsi'!B3:G28,MATCH(1,B4:B25,0),3)</f>
        <v>688</v>
      </c>
      <c r="F4" s="6">
        <f>INDEX('3bezr. na wsi'!B3:G28,MATCH(1,B4:B25,0),4)</f>
        <v>37</v>
      </c>
      <c r="G4" s="42">
        <f>INDEX('3bezr. na wsi'!B3:G28,MATCH(1,B4:B25,0),5)</f>
        <v>678</v>
      </c>
      <c r="H4" s="6">
        <f>INDEX('3bezr. na wsi'!B3:G28,MATCH(1,B4:B25,0),6)</f>
        <v>47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824</v>
      </c>
      <c r="E5" s="42">
        <f>INDEX('3bezr. na wsi'!B3:G28,MATCH(2,B4:B25,0),3)</f>
        <v>813</v>
      </c>
      <c r="F5" s="6">
        <f>INDEX('3bezr. na wsi'!B3:G28,MATCH(2,B4:B25,0),4)</f>
        <v>11</v>
      </c>
      <c r="G5" s="42">
        <f>INDEX('3bezr. na wsi'!B3:G28,MATCH(2,B4:B25,0),5)</f>
        <v>755</v>
      </c>
      <c r="H5" s="6">
        <f>INDEX('3bezr. na wsi'!B3:G28,MATCH(2,B4:B25,0),6)</f>
        <v>69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6</v>
      </c>
      <c r="C6" s="5" t="str">
        <f>INDEX('3bezr. na wsi'!B3:G28,MATCH(3,B4:B25,0),1)</f>
        <v xml:space="preserve">tarnobrzeski </v>
      </c>
      <c r="D6" s="6">
        <f>INDEX('3bezr. na wsi'!B3:G28,MATCH(3,B4:B25,0),2)</f>
        <v>1021</v>
      </c>
      <c r="E6" s="42">
        <f>INDEX('3bezr. na wsi'!B3:G28,MATCH(3,B4:B25,0),3)</f>
        <v>1004</v>
      </c>
      <c r="F6" s="6">
        <f>INDEX('3bezr. na wsi'!B3:G28,MATCH(3,B4:B25,0),4)</f>
        <v>17</v>
      </c>
      <c r="G6" s="42">
        <f>INDEX('3bezr. na wsi'!B3:G28,MATCH(3,B4:B25,0),5)</f>
        <v>1024</v>
      </c>
      <c r="H6" s="6">
        <f>INDEX('3bezr. na wsi'!B3:G28,MATCH(3,B4:B25,0),6)</f>
        <v>-3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17</v>
      </c>
      <c r="C7" s="5" t="str">
        <f>INDEX('3bezr. na wsi'!B3:G28,MATCH(4,B4:B25,0),1)</f>
        <v>lubaczowski</v>
      </c>
      <c r="D7" s="6">
        <f>INDEX('3bezr. na wsi'!B3:G28,MATCH(4,B4:B25,0),2)</f>
        <v>1117</v>
      </c>
      <c r="E7" s="42">
        <f>INDEX('3bezr. na wsi'!B3:G28,MATCH(4,B4:B25,0),3)</f>
        <v>1103</v>
      </c>
      <c r="F7" s="6">
        <f>INDEX('3bezr. na wsi'!B3:G28,MATCH(4,B4:B25,0),4)</f>
        <v>14</v>
      </c>
      <c r="G7" s="42">
        <f>INDEX('3bezr. na wsi'!B3:G28,MATCH(4,B4:B25,0),5)</f>
        <v>1251</v>
      </c>
      <c r="H7" s="6">
        <f>INDEX('3bezr. na wsi'!B3:G28,MATCH(4,B4:B25,0),6)</f>
        <v>-134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kolbuszowski</v>
      </c>
      <c r="D8" s="6">
        <f>INDEX('3bezr. na wsi'!B3:G28,MATCH(5,B4:B25,0),2)</f>
        <v>1328</v>
      </c>
      <c r="E8" s="42">
        <f>INDEX('3bezr. na wsi'!B3:G28,MATCH(5,B4:B25,0),3)</f>
        <v>1319</v>
      </c>
      <c r="F8" s="6">
        <f>INDEX('3bezr. na wsi'!B3:G28,MATCH(5,B4:B25,0),4)</f>
        <v>9</v>
      </c>
      <c r="G8" s="42">
        <f>INDEX('3bezr. na wsi'!B3:G28,MATCH(5,B4:B25,0),5)</f>
        <v>1319</v>
      </c>
      <c r="H8" s="6">
        <f>INDEX('3bezr. na wsi'!B3:G28,MATCH(5,B4:B25,0),6)</f>
        <v>9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5</v>
      </c>
      <c r="C9" s="5" t="str">
        <f>INDEX('3bezr. na wsi'!B3:G28,MATCH(6,B4:B25,0),1)</f>
        <v>dębicki</v>
      </c>
      <c r="D9" s="6">
        <f>INDEX('3bezr. na wsi'!B3:G28,MATCH(6,B4:B25,0),2)</f>
        <v>1361</v>
      </c>
      <c r="E9" s="42">
        <f>INDEX('3bezr. na wsi'!B3:G28,MATCH(6,B4:B25,0),3)</f>
        <v>1345</v>
      </c>
      <c r="F9" s="6">
        <f>INDEX('3bezr. na wsi'!B3:G28,MATCH(6,B4:B25,0),4)</f>
        <v>16</v>
      </c>
      <c r="G9" s="42">
        <f>INDEX('3bezr. na wsi'!B3:G28,MATCH(6,B4:B25,0),5)</f>
        <v>1433</v>
      </c>
      <c r="H9" s="6">
        <f>INDEX('3bezr. na wsi'!B3:G28,MATCH(6,B4:B25,0),6)</f>
        <v>-72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leski</v>
      </c>
      <c r="D10" s="6">
        <f>INDEX('3bezr. na wsi'!B3:G28,MATCH(7,B4:B25,0),2)</f>
        <v>1439</v>
      </c>
      <c r="E10" s="42">
        <f>INDEX('3bezr. na wsi'!B3:G28,MATCH(7,B4:B25,0),3)</f>
        <v>1386</v>
      </c>
      <c r="F10" s="6">
        <f>INDEX('3bezr. na wsi'!B3:G28,MATCH(7,B4:B25,0),4)</f>
        <v>53</v>
      </c>
      <c r="G10" s="42">
        <f>INDEX('3bezr. na wsi'!B3:G28,MATCH(7,B4:B25,0),5)</f>
        <v>1439</v>
      </c>
      <c r="H10" s="6">
        <f>INDEX('3bezr. na wsi'!B3:G28,MATCH(7,B4:B25,0),6)</f>
        <v>0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7</v>
      </c>
      <c r="C11" s="5" t="str">
        <f>INDEX('3bezr. na wsi'!B3:G28,MATCH(8,B4:B25,0),1)</f>
        <v>mielecki</v>
      </c>
      <c r="D11" s="6">
        <f>INDEX('3bezr. na wsi'!B3:G28,MATCH(8,B4:B25,0),2)</f>
        <v>1572</v>
      </c>
      <c r="E11" s="42">
        <f>INDEX('3bezr. na wsi'!B3:G28,MATCH(8,B4:B25,0),3)</f>
        <v>1525</v>
      </c>
      <c r="F11" s="6">
        <f>INDEX('3bezr. na wsi'!B3:G28,MATCH(8,B4:B25,0),4)</f>
        <v>47</v>
      </c>
      <c r="G11" s="42">
        <f>INDEX('3bezr. na wsi'!B3:G28,MATCH(8,B4:B25,0),5)</f>
        <v>1546</v>
      </c>
      <c r="H11" s="6">
        <f>INDEX('3bezr. na wsi'!B3:G28,MATCH(8,B4:B25,0),6)</f>
        <v>26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sanocki</v>
      </c>
      <c r="D12" s="6">
        <f>INDEX('3bezr. na wsi'!B3:G28,MATCH(9,B4:B25,0),2)</f>
        <v>1712</v>
      </c>
      <c r="E12" s="42">
        <f>INDEX('3bezr. na wsi'!B3:G28,MATCH(9,B4:B25,0),3)</f>
        <v>1659</v>
      </c>
      <c r="F12" s="6">
        <f>INDEX('3bezr. na wsi'!B3:G28,MATCH(9,B4:B25,0),4)</f>
        <v>53</v>
      </c>
      <c r="G12" s="42">
        <f>INDEX('3bezr. na wsi'!B3:G28,MATCH(9,B4:B25,0),5)</f>
        <v>1593</v>
      </c>
      <c r="H12" s="6">
        <f>INDEX('3bezr. na wsi'!B3:G28,MATCH(9,B4:B25,0),6)</f>
        <v>119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ropczycko-sędziszowski</v>
      </c>
      <c r="D13" s="6">
        <f>INDEX('3bezr. na wsi'!B3:G28,MATCH(10,B4:B25,0),2)</f>
        <v>1742</v>
      </c>
      <c r="E13" s="42">
        <f>INDEX('3bezr. na wsi'!B3:G28,MATCH(10,B4:B25,0),3)</f>
        <v>1661</v>
      </c>
      <c r="F13" s="6">
        <f>INDEX('3bezr. na wsi'!B3:G28,MATCH(10,B4:B25,0),4)</f>
        <v>81</v>
      </c>
      <c r="G13" s="42">
        <f>INDEX('3bezr. na wsi'!B3:G28,MATCH(10,B4:B25,0),5)</f>
        <v>1660</v>
      </c>
      <c r="H13" s="6">
        <f>INDEX('3bezr. na wsi'!B3:G28,MATCH(10,B4:B25,0),6)</f>
        <v>82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12</v>
      </c>
      <c r="C14" s="5" t="str">
        <f>INDEX('3bezr. na wsi'!B3:G28,MATCH(11,B4:B25,0),1)</f>
        <v>niżański</v>
      </c>
      <c r="D14" s="6">
        <f>INDEX('3bezr. na wsi'!B3:G28,MATCH(11,B4:B25,0),2)</f>
        <v>1913</v>
      </c>
      <c r="E14" s="42">
        <f>INDEX('3bezr. na wsi'!B3:G28,MATCH(11,B4:B25,0),3)</f>
        <v>1854</v>
      </c>
      <c r="F14" s="6">
        <f>INDEX('3bezr. na wsi'!B3:G28,MATCH(11,B4:B25,0),4)</f>
        <v>59</v>
      </c>
      <c r="G14" s="42">
        <f>INDEX('3bezr. na wsi'!B3:G28,MATCH(11,B4:B25,0),5)</f>
        <v>2002</v>
      </c>
      <c r="H14" s="6">
        <f>INDEX('3bezr. na wsi'!B3:G28,MATCH(11,B4:B25,0),6)</f>
        <v>-89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łańcucki</v>
      </c>
      <c r="D15" s="6">
        <f>INDEX('3bezr. na wsi'!B3:G28,MATCH(12,B4:B25,0),2)</f>
        <v>1958</v>
      </c>
      <c r="E15" s="42">
        <f>INDEX('3bezr. na wsi'!B3:G28,MATCH(12,B4:B25,0),3)</f>
        <v>1885</v>
      </c>
      <c r="F15" s="6">
        <f>INDEX('3bezr. na wsi'!B3:G28,MATCH(12,B4:B25,0),4)</f>
        <v>73</v>
      </c>
      <c r="G15" s="42">
        <f>INDEX('3bezr. na wsi'!B3:G28,MATCH(12,B4:B25,0),5)</f>
        <v>2028</v>
      </c>
      <c r="H15" s="6">
        <f>INDEX('3bezr. na wsi'!B3:G28,MATCH(12,B4:B25,0),6)</f>
        <v>-70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11</v>
      </c>
      <c r="C16" s="5" t="str">
        <f>INDEX('3bezr. na wsi'!B3:G28,MATCH(13,B4:B25,0),1)</f>
        <v>krośnieński</v>
      </c>
      <c r="D16" s="6">
        <f>INDEX('3bezr. na wsi'!B3:G28,MATCH(13,B4:B25,0),2)</f>
        <v>2130</v>
      </c>
      <c r="E16" s="42">
        <f>INDEX('3bezr. na wsi'!B3:G28,MATCH(13,B4:B25,0),3)</f>
        <v>2050</v>
      </c>
      <c r="F16" s="6">
        <f>INDEX('3bezr. na wsi'!B3:G28,MATCH(13,B4:B25,0),4)</f>
        <v>80</v>
      </c>
      <c r="G16" s="42">
        <f>INDEX('3bezr. na wsi'!B3:G28,MATCH(13,B4:B25,0),5)</f>
        <v>2008</v>
      </c>
      <c r="H16" s="6">
        <f>INDEX('3bezr. na wsi'!B3:G28,MATCH(13,B4:B25,0),6)</f>
        <v>122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18</v>
      </c>
      <c r="C17" s="5" t="str">
        <f>INDEX('3bezr. na wsi'!B3:G28,MATCH(14,B4:B25,0),1)</f>
        <v>leżajski</v>
      </c>
      <c r="D17" s="6">
        <f>INDEX('3bezr. na wsi'!B3:G28,MATCH(14,B4:B25,0),2)</f>
        <v>2255</v>
      </c>
      <c r="E17" s="42">
        <f>INDEX('3bezr. na wsi'!B3:G28,MATCH(14,B4:B25,0),3)</f>
        <v>2178</v>
      </c>
      <c r="F17" s="6">
        <f>INDEX('3bezr. na wsi'!B3:G28,MATCH(14,B4:B25,0),4)</f>
        <v>77</v>
      </c>
      <c r="G17" s="42">
        <f>INDEX('3bezr. na wsi'!B3:G28,MATCH(14,B4:B25,0),5)</f>
        <v>2364</v>
      </c>
      <c r="H17" s="6">
        <f>INDEX('3bezr. na wsi'!B3:G28,MATCH(14,B4:B25,0),6)</f>
        <v>-109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2528</v>
      </c>
      <c r="E18" s="42">
        <f>INDEX('3bezr. na wsi'!B3:G28,MATCH(15,B4:B25,0),3)</f>
        <v>2469</v>
      </c>
      <c r="F18" s="6">
        <f>INDEX('3bezr. na wsi'!B3:G28,MATCH(15,B4:B25,0),4)</f>
        <v>59</v>
      </c>
      <c r="G18" s="42">
        <f>INDEX('3bezr. na wsi'!B3:G28,MATCH(15,B4:B25,0),5)</f>
        <v>2615</v>
      </c>
      <c r="H18" s="6">
        <f>INDEX('3bezr. na wsi'!B3:G28,MATCH(15,B4:B25,0),6)</f>
        <v>-87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10</v>
      </c>
      <c r="C19" s="5" t="str">
        <f>INDEX('3bezr. na wsi'!B3:G28,MATCH(16,B4:B25,0),1)</f>
        <v>strzyżowski</v>
      </c>
      <c r="D19" s="6">
        <f>INDEX('3bezr. na wsi'!B3:G28,MATCH(16,B4:B25,0),2)</f>
        <v>2778</v>
      </c>
      <c r="E19" s="42">
        <f>INDEX('3bezr. na wsi'!B3:G28,MATCH(16,B4:B25,0),3)</f>
        <v>2635</v>
      </c>
      <c r="F19" s="6">
        <f>INDEX('3bezr. na wsi'!B3:G28,MATCH(16,B4:B25,0),4)</f>
        <v>143</v>
      </c>
      <c r="G19" s="42">
        <f>INDEX('3bezr. na wsi'!B3:G28,MATCH(16,B4:B25,0),5)</f>
        <v>2813</v>
      </c>
      <c r="H19" s="6">
        <f>INDEX('3bezr. na wsi'!B3:G28,MATCH(16,B4:B25,0),6)</f>
        <v>-35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jarosławski</v>
      </c>
      <c r="D20" s="6">
        <f>INDEX('3bezr. na wsi'!B3:G28,MATCH(17,B4:B25,0),2)</f>
        <v>2792</v>
      </c>
      <c r="E20" s="42">
        <f>INDEX('3bezr. na wsi'!B3:G28,MATCH(17,B4:B25,0),3)</f>
        <v>2643</v>
      </c>
      <c r="F20" s="6">
        <f>INDEX('3bezr. na wsi'!B3:G28,MATCH(17,B4:B25,0),4)</f>
        <v>149</v>
      </c>
      <c r="G20" s="42">
        <f>INDEX('3bezr. na wsi'!B3:G28,MATCH(17,B4:B25,0),5)</f>
        <v>2665</v>
      </c>
      <c r="H20" s="6">
        <f>INDEX('3bezr. na wsi'!B3:G28,MATCH(17,B4:B25,0),6)</f>
        <v>127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9</v>
      </c>
      <c r="C21" s="5" t="str">
        <f>INDEX('3bezr. na wsi'!B3:G28,MATCH(18,B4:B25,0),1)</f>
        <v>przemyski</v>
      </c>
      <c r="D21" s="6">
        <f>INDEX('3bezr. na wsi'!B3:G28,MATCH(18,B4:B25,0),2)</f>
        <v>2885</v>
      </c>
      <c r="E21" s="42">
        <f>INDEX('3bezr. na wsi'!B3:G28,MATCH(18,B4:B25,0),3)</f>
        <v>2736</v>
      </c>
      <c r="F21" s="6">
        <f>INDEX('3bezr. na wsi'!B3:G28,MATCH(18,B4:B25,0),4)</f>
        <v>149</v>
      </c>
      <c r="G21" s="42">
        <f>INDEX('3bezr. na wsi'!B3:G28,MATCH(18,B4:B25,0),5)</f>
        <v>2944</v>
      </c>
      <c r="H21" s="6">
        <f>INDEX('3bezr. na wsi'!B3:G28,MATCH(18,B4:B25,0),6)</f>
        <v>-59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3473</v>
      </c>
      <c r="E22" s="42">
        <f>INDEX('3bezr. na wsi'!B3:G28,MATCH(19,B4:B25,0),3)</f>
        <v>3381</v>
      </c>
      <c r="F22" s="6">
        <f>INDEX('3bezr. na wsi'!B3:G28,MATCH(19,B4:B25,0),4)</f>
        <v>92</v>
      </c>
      <c r="G22" s="42">
        <f>INDEX('3bezr. na wsi'!B3:G28,MATCH(19,B4:B25,0),5)</f>
        <v>3552</v>
      </c>
      <c r="H22" s="6">
        <f>INDEX('3bezr. na wsi'!B3:G28,MATCH(19,B4:B25,0),6)</f>
        <v>-79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16</v>
      </c>
      <c r="C23" s="5" t="str">
        <f>INDEX('3bezr. na wsi'!B3:G28,MATCH(20,B4:B25,0),1)</f>
        <v>jasielski</v>
      </c>
      <c r="D23" s="6">
        <f>INDEX('3bezr. na wsi'!B3:G28,MATCH(20,B4:B25,0),2)</f>
        <v>3508</v>
      </c>
      <c r="E23" s="42">
        <f>INDEX('3bezr. na wsi'!B3:G28,MATCH(20,B4:B25,0),3)</f>
        <v>3434</v>
      </c>
      <c r="F23" s="6">
        <f>INDEX('3bezr. na wsi'!B3:G28,MATCH(20,B4:B25,0),4)</f>
        <v>74</v>
      </c>
      <c r="G23" s="42">
        <f>INDEX('3bezr. na wsi'!B3:G28,MATCH(20,B4:B25,0),5)</f>
        <v>3641</v>
      </c>
      <c r="H23" s="6">
        <f>INDEX('3bezr. na wsi'!B3:G28,MATCH(20,B4:B25,0),6)</f>
        <v>-133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3586</v>
      </c>
      <c r="E24" s="42">
        <f>INDEX('3bezr. na wsi'!B3:G28,MATCH(21,B4:B25,0),3)</f>
        <v>3531</v>
      </c>
      <c r="F24" s="6">
        <f>INDEX('3bezr. na wsi'!B3:G28,MATCH(21,B4:B25,0),4)</f>
        <v>55</v>
      </c>
      <c r="G24" s="42">
        <f>INDEX('3bezr. na wsi'!B3:G28,MATCH(21,B4:B25,0),5)</f>
        <v>3698</v>
      </c>
      <c r="H24" s="6">
        <f>INDEX('3bezr. na wsi'!B3:G28,MATCH(21,B4:B25,0),6)</f>
        <v>-112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42647</v>
      </c>
      <c r="E25" s="44">
        <f>INDEX('3bezr. na wsi'!B3:G28,MATCH(22,B4:B25,0),3)</f>
        <v>41299</v>
      </c>
      <c r="F25" s="40">
        <f>INDEX('3bezr. na wsi'!B3:G28,MATCH(22,B4:B25,0),4)</f>
        <v>1348</v>
      </c>
      <c r="G25" s="44">
        <f>INDEX('3bezr. na wsi'!B3:G28,MATCH(22,B4:B25,0),5)</f>
        <v>43028</v>
      </c>
      <c r="H25" s="40">
        <f>INDEX('3bezr. na wsi'!B3:G28,MATCH(22,B4:B25,0),6)</f>
        <v>-381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85</v>
      </c>
      <c r="D2" s="38" t="s">
        <v>84</v>
      </c>
      <c r="E2" s="37" t="s">
        <v>28</v>
      </c>
      <c r="F2" s="38" t="s">
        <v>86</v>
      </c>
      <c r="G2" s="37" t="s">
        <v>26</v>
      </c>
    </row>
    <row r="3" spans="2:8" x14ac:dyDescent="0.2">
      <c r="B3" s="5" t="s">
        <v>0</v>
      </c>
      <c r="C3" s="6">
        <v>662</v>
      </c>
      <c r="D3" s="42">
        <v>644</v>
      </c>
      <c r="E3" s="6">
        <f t="shared" ref="E3:E26" si="0">SUM(C3)-D3</f>
        <v>18</v>
      </c>
      <c r="F3" s="42">
        <v>622</v>
      </c>
      <c r="G3" s="6">
        <f t="shared" ref="G3:G27" si="1">SUM(C3)-F3</f>
        <v>40</v>
      </c>
      <c r="H3" s="7"/>
    </row>
    <row r="4" spans="2:8" x14ac:dyDescent="0.2">
      <c r="B4" s="5" t="s">
        <v>1</v>
      </c>
      <c r="C4" s="6">
        <v>2410</v>
      </c>
      <c r="D4" s="42">
        <v>2375</v>
      </c>
      <c r="E4" s="6">
        <f t="shared" si="0"/>
        <v>35</v>
      </c>
      <c r="F4" s="42">
        <v>2466</v>
      </c>
      <c r="G4" s="6">
        <f t="shared" si="1"/>
        <v>-56</v>
      </c>
      <c r="H4" s="7"/>
    </row>
    <row r="5" spans="2:8" x14ac:dyDescent="0.2">
      <c r="B5" s="5" t="s">
        <v>2</v>
      </c>
      <c r="C5" s="6">
        <v>964</v>
      </c>
      <c r="D5" s="42">
        <v>962</v>
      </c>
      <c r="E5" s="6">
        <f t="shared" si="0"/>
        <v>2</v>
      </c>
      <c r="F5" s="42">
        <v>967</v>
      </c>
      <c r="G5" s="6">
        <f t="shared" si="1"/>
        <v>-3</v>
      </c>
      <c r="H5" s="7"/>
    </row>
    <row r="6" spans="2:8" x14ac:dyDescent="0.2">
      <c r="B6" s="5" t="s">
        <v>3</v>
      </c>
      <c r="C6" s="6">
        <v>2461</v>
      </c>
      <c r="D6" s="42">
        <v>2389</v>
      </c>
      <c r="E6" s="6">
        <f t="shared" si="0"/>
        <v>72</v>
      </c>
      <c r="F6" s="42">
        <v>2444</v>
      </c>
      <c r="G6" s="6">
        <f t="shared" si="1"/>
        <v>17</v>
      </c>
      <c r="H6" s="7"/>
    </row>
    <row r="7" spans="2:8" x14ac:dyDescent="0.2">
      <c r="B7" s="5" t="s">
        <v>4</v>
      </c>
      <c r="C7" s="6">
        <v>2990</v>
      </c>
      <c r="D7" s="42">
        <v>2954</v>
      </c>
      <c r="E7" s="6">
        <f t="shared" si="0"/>
        <v>36</v>
      </c>
      <c r="F7" s="42">
        <v>3094</v>
      </c>
      <c r="G7" s="6">
        <f t="shared" si="1"/>
        <v>-104</v>
      </c>
      <c r="H7" s="7"/>
    </row>
    <row r="8" spans="2:8" x14ac:dyDescent="0.2">
      <c r="B8" s="5" t="s">
        <v>5</v>
      </c>
      <c r="C8" s="6">
        <v>720</v>
      </c>
      <c r="D8" s="42">
        <v>718</v>
      </c>
      <c r="E8" s="6">
        <f t="shared" si="0"/>
        <v>2</v>
      </c>
      <c r="F8" s="42">
        <v>747</v>
      </c>
      <c r="G8" s="6">
        <f t="shared" si="1"/>
        <v>-27</v>
      </c>
      <c r="H8" s="7"/>
    </row>
    <row r="9" spans="2:8" x14ac:dyDescent="0.2">
      <c r="B9" s="9" t="s">
        <v>6</v>
      </c>
      <c r="C9" s="6">
        <v>1020</v>
      </c>
      <c r="D9" s="42">
        <v>1008</v>
      </c>
      <c r="E9" s="6">
        <f t="shared" si="0"/>
        <v>12</v>
      </c>
      <c r="F9" s="42">
        <v>961</v>
      </c>
      <c r="G9" s="6">
        <f t="shared" si="1"/>
        <v>59</v>
      </c>
      <c r="H9" s="7"/>
    </row>
    <row r="10" spans="2:8" x14ac:dyDescent="0.2">
      <c r="B10" s="5" t="s">
        <v>7</v>
      </c>
      <c r="C10" s="6">
        <v>1083</v>
      </c>
      <c r="D10" s="42">
        <v>1071</v>
      </c>
      <c r="E10" s="6">
        <f t="shared" si="0"/>
        <v>12</v>
      </c>
      <c r="F10" s="42">
        <v>1086</v>
      </c>
      <c r="G10" s="6">
        <f t="shared" si="1"/>
        <v>-3</v>
      </c>
      <c r="H10" s="7"/>
    </row>
    <row r="11" spans="2:8" x14ac:dyDescent="0.2">
      <c r="B11" s="5" t="s">
        <v>8</v>
      </c>
      <c r="C11" s="6">
        <v>1705</v>
      </c>
      <c r="D11" s="42">
        <v>1664</v>
      </c>
      <c r="E11" s="6">
        <f t="shared" si="0"/>
        <v>41</v>
      </c>
      <c r="F11" s="42">
        <v>1777</v>
      </c>
      <c r="G11" s="6">
        <f t="shared" si="1"/>
        <v>-72</v>
      </c>
      <c r="H11" s="7"/>
    </row>
    <row r="12" spans="2:8" x14ac:dyDescent="0.2">
      <c r="B12" s="5" t="s">
        <v>9</v>
      </c>
      <c r="C12" s="6">
        <v>898</v>
      </c>
      <c r="D12" s="42">
        <v>899</v>
      </c>
      <c r="E12" s="6">
        <f t="shared" si="0"/>
        <v>-1</v>
      </c>
      <c r="F12" s="42">
        <v>932</v>
      </c>
      <c r="G12" s="6">
        <f t="shared" si="1"/>
        <v>-34</v>
      </c>
      <c r="H12" s="7"/>
    </row>
    <row r="13" spans="2:8" x14ac:dyDescent="0.2">
      <c r="B13" s="5" t="s">
        <v>10</v>
      </c>
      <c r="C13" s="6">
        <v>1223</v>
      </c>
      <c r="D13" s="42">
        <v>1165</v>
      </c>
      <c r="E13" s="6">
        <f t="shared" si="0"/>
        <v>58</v>
      </c>
      <c r="F13" s="42">
        <v>1282</v>
      </c>
      <c r="G13" s="6">
        <f t="shared" si="1"/>
        <v>-59</v>
      </c>
      <c r="H13" s="7"/>
    </row>
    <row r="14" spans="2:8" x14ac:dyDescent="0.2">
      <c r="B14" s="5" t="s">
        <v>11</v>
      </c>
      <c r="C14" s="6">
        <v>1490</v>
      </c>
      <c r="D14" s="42">
        <v>1482</v>
      </c>
      <c r="E14" s="6">
        <f t="shared" si="0"/>
        <v>8</v>
      </c>
      <c r="F14" s="42">
        <v>1357</v>
      </c>
      <c r="G14" s="6">
        <f t="shared" si="1"/>
        <v>133</v>
      </c>
      <c r="H14" s="7"/>
    </row>
    <row r="15" spans="2:8" x14ac:dyDescent="0.2">
      <c r="B15" s="5" t="s">
        <v>12</v>
      </c>
      <c r="C15" s="6">
        <v>1647</v>
      </c>
      <c r="D15" s="42">
        <v>1596</v>
      </c>
      <c r="E15" s="6">
        <f t="shared" si="0"/>
        <v>51</v>
      </c>
      <c r="F15" s="42">
        <v>1673</v>
      </c>
      <c r="G15" s="6">
        <f t="shared" si="1"/>
        <v>-26</v>
      </c>
      <c r="H15" s="7"/>
    </row>
    <row r="16" spans="2:8" x14ac:dyDescent="0.2">
      <c r="B16" s="5" t="s">
        <v>13</v>
      </c>
      <c r="C16" s="6">
        <v>1725</v>
      </c>
      <c r="D16" s="42">
        <v>1669</v>
      </c>
      <c r="E16" s="6">
        <f t="shared" si="0"/>
        <v>56</v>
      </c>
      <c r="F16" s="42">
        <v>1741</v>
      </c>
      <c r="G16" s="6">
        <f t="shared" si="1"/>
        <v>-16</v>
      </c>
      <c r="H16" s="7"/>
    </row>
    <row r="17" spans="2:8" x14ac:dyDescent="0.2">
      <c r="B17" s="5" t="s">
        <v>14</v>
      </c>
      <c r="C17" s="6">
        <v>1962</v>
      </c>
      <c r="D17" s="42">
        <v>1932</v>
      </c>
      <c r="E17" s="6">
        <f t="shared" si="0"/>
        <v>30</v>
      </c>
      <c r="F17" s="42">
        <v>2015</v>
      </c>
      <c r="G17" s="6">
        <f t="shared" si="1"/>
        <v>-53</v>
      </c>
      <c r="H17" s="7"/>
    </row>
    <row r="18" spans="2:8" x14ac:dyDescent="0.2">
      <c r="B18" s="5" t="s">
        <v>15</v>
      </c>
      <c r="C18" s="6">
        <v>1339</v>
      </c>
      <c r="D18" s="42">
        <v>1309</v>
      </c>
      <c r="E18" s="6">
        <f t="shared" si="0"/>
        <v>30</v>
      </c>
      <c r="F18" s="42">
        <v>1338</v>
      </c>
      <c r="G18" s="6">
        <f t="shared" si="1"/>
        <v>1</v>
      </c>
      <c r="H18" s="7"/>
    </row>
    <row r="19" spans="2:8" x14ac:dyDescent="0.2">
      <c r="B19" s="5" t="s">
        <v>16</v>
      </c>
      <c r="C19" s="6">
        <v>2517</v>
      </c>
      <c r="D19" s="42">
        <v>2493</v>
      </c>
      <c r="E19" s="6">
        <f t="shared" si="0"/>
        <v>24</v>
      </c>
      <c r="F19" s="42">
        <v>2594</v>
      </c>
      <c r="G19" s="6">
        <f t="shared" si="1"/>
        <v>-77</v>
      </c>
      <c r="H19" s="7"/>
    </row>
    <row r="20" spans="2:8" x14ac:dyDescent="0.2">
      <c r="B20" s="5" t="s">
        <v>17</v>
      </c>
      <c r="C20" s="6">
        <v>1522</v>
      </c>
      <c r="D20" s="42">
        <v>1491</v>
      </c>
      <c r="E20" s="6">
        <f t="shared" si="0"/>
        <v>31</v>
      </c>
      <c r="F20" s="42">
        <v>1399</v>
      </c>
      <c r="G20" s="6">
        <f t="shared" si="1"/>
        <v>123</v>
      </c>
      <c r="H20" s="7"/>
    </row>
    <row r="21" spans="2:8" x14ac:dyDescent="0.2">
      <c r="B21" s="5" t="s">
        <v>18</v>
      </c>
      <c r="C21" s="6">
        <v>897</v>
      </c>
      <c r="D21" s="42">
        <v>848</v>
      </c>
      <c r="E21" s="6">
        <f t="shared" si="0"/>
        <v>49</v>
      </c>
      <c r="F21" s="42">
        <v>783</v>
      </c>
      <c r="G21" s="6">
        <f t="shared" si="1"/>
        <v>114</v>
      </c>
      <c r="H21" s="7"/>
    </row>
    <row r="22" spans="2:8" x14ac:dyDescent="0.2">
      <c r="B22" s="5" t="s">
        <v>19</v>
      </c>
      <c r="C22" s="6">
        <v>1939</v>
      </c>
      <c r="D22" s="42">
        <v>1865</v>
      </c>
      <c r="E22" s="6">
        <f t="shared" si="0"/>
        <v>74</v>
      </c>
      <c r="F22" s="42">
        <v>1949</v>
      </c>
      <c r="G22" s="6">
        <f t="shared" si="1"/>
        <v>-10</v>
      </c>
      <c r="H22" s="7"/>
    </row>
    <row r="23" spans="2:8" x14ac:dyDescent="0.2">
      <c r="B23" s="5" t="s">
        <v>20</v>
      </c>
      <c r="C23" s="6">
        <v>633</v>
      </c>
      <c r="D23" s="42">
        <v>620</v>
      </c>
      <c r="E23" s="6">
        <f t="shared" si="0"/>
        <v>13</v>
      </c>
      <c r="F23" s="42">
        <v>618</v>
      </c>
      <c r="G23" s="6">
        <f t="shared" si="1"/>
        <v>15</v>
      </c>
      <c r="H23" s="7"/>
    </row>
    <row r="24" spans="2:8" x14ac:dyDescent="0.2">
      <c r="B24" s="5" t="s">
        <v>21</v>
      </c>
      <c r="C24" s="6">
        <v>341</v>
      </c>
      <c r="D24" s="42">
        <v>341</v>
      </c>
      <c r="E24" s="6">
        <f t="shared" si="0"/>
        <v>0</v>
      </c>
      <c r="F24" s="42">
        <v>304</v>
      </c>
      <c r="G24" s="6">
        <f t="shared" si="1"/>
        <v>37</v>
      </c>
      <c r="H24" s="7"/>
    </row>
    <row r="25" spans="2:8" x14ac:dyDescent="0.2">
      <c r="B25" s="5" t="s">
        <v>22</v>
      </c>
      <c r="C25" s="26">
        <v>1515</v>
      </c>
      <c r="D25" s="42">
        <v>1484</v>
      </c>
      <c r="E25" s="26">
        <f t="shared" si="0"/>
        <v>31</v>
      </c>
      <c r="F25" s="42">
        <v>1502</v>
      </c>
      <c r="G25" s="6">
        <f t="shared" si="1"/>
        <v>13</v>
      </c>
      <c r="H25" s="7"/>
    </row>
    <row r="26" spans="2:8" x14ac:dyDescent="0.2">
      <c r="B26" s="5" t="s">
        <v>23</v>
      </c>
      <c r="C26" s="26">
        <v>2872</v>
      </c>
      <c r="D26" s="42">
        <v>2868</v>
      </c>
      <c r="E26" s="26">
        <f t="shared" si="0"/>
        <v>4</v>
      </c>
      <c r="F26" s="42">
        <v>3099</v>
      </c>
      <c r="G26" s="6">
        <f t="shared" si="1"/>
        <v>-227</v>
      </c>
      <c r="H26" s="7"/>
    </row>
    <row r="27" spans="2:8" x14ac:dyDescent="0.2">
      <c r="B27" s="5" t="s">
        <v>24</v>
      </c>
      <c r="C27" s="26">
        <v>521</v>
      </c>
      <c r="D27" s="42">
        <v>527</v>
      </c>
      <c r="E27" s="26">
        <f>SUM(C27)-D27</f>
        <v>-6</v>
      </c>
      <c r="F27" s="42">
        <v>544</v>
      </c>
      <c r="G27" s="6">
        <f t="shared" si="1"/>
        <v>-23</v>
      </c>
      <c r="H27" s="7"/>
    </row>
    <row r="28" spans="2:8" ht="15" x14ac:dyDescent="0.25">
      <c r="B28" s="39" t="s">
        <v>25</v>
      </c>
      <c r="C28" s="40">
        <f>SUM(C3:C27)</f>
        <v>37056</v>
      </c>
      <c r="D28" s="41">
        <f>SUM(D3:D27)</f>
        <v>36374</v>
      </c>
      <c r="E28" s="40">
        <f>SUM(E3:E27)</f>
        <v>682</v>
      </c>
      <c r="F28" s="41">
        <f>SUM(F3:F27)</f>
        <v>37294</v>
      </c>
      <c r="G28" s="40">
        <f>SUM(G3:G27)</f>
        <v>-238</v>
      </c>
      <c r="H28" s="7"/>
    </row>
    <row r="29" spans="2:8" ht="15" x14ac:dyDescent="0.25">
      <c r="B29" s="3" t="s">
        <v>49</v>
      </c>
      <c r="E29" s="19"/>
      <c r="F29" s="7"/>
      <c r="G29" s="7"/>
    </row>
    <row r="30" spans="2:8" x14ac:dyDescent="0.2">
      <c r="B30" s="3" t="s">
        <v>50</v>
      </c>
    </row>
    <row r="32" spans="2:8" ht="25.5" x14ac:dyDescent="0.2">
      <c r="C32" s="132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31-12-'24 r.</v>
      </c>
      <c r="E3" s="36" t="str">
        <f>T('4długot.'!D2)</f>
        <v>liczba bezrobotnych pow. 12 m-cy stan na 30-11-'24 r.</v>
      </c>
      <c r="F3" s="36" t="str">
        <f>T('4długot.'!E2)</f>
        <v>wzrost/spadek do poprzedniego  miesiąca</v>
      </c>
      <c r="G3" s="36" t="str">
        <f>T('4długot.'!F2)</f>
        <v>liczba bezrobotnych pow. 12 m-cy,  stan na 31-12-'23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341</v>
      </c>
      <c r="E4" s="42">
        <f>INDEX('4długot.'!B3:G28,MATCH(1,B4:B29,0),3)</f>
        <v>341</v>
      </c>
      <c r="F4" s="6">
        <f>INDEX('4długot.'!B3:G28,MATCH(1,B4:B29,0),4)</f>
        <v>0</v>
      </c>
      <c r="G4" s="42">
        <f>INDEX('4długot.'!B3:G28,MATCH(1,B4:B29,0),5)</f>
        <v>304</v>
      </c>
      <c r="H4" s="6">
        <f>INDEX('4długot.'!B3:G28,MATCH(1,B4:B29,0),6)</f>
        <v>37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521</v>
      </c>
      <c r="E5" s="42">
        <f>INDEX('4długot.'!B3:G28,MATCH(2,B4:B29,0),3)</f>
        <v>527</v>
      </c>
      <c r="F5" s="6">
        <f>INDEX('4długot.'!B3:G28,MATCH(2,B4:B29,0),4)</f>
        <v>-6</v>
      </c>
      <c r="G5" s="42">
        <f>INDEX('4długot.'!B3:G28,MATCH(2,B4:B29,0),5)</f>
        <v>544</v>
      </c>
      <c r="H5" s="6">
        <f>INDEX('4długot.'!B3:G28,MATCH(2,B4:B29,0),6)</f>
        <v>-23</v>
      </c>
    </row>
    <row r="6" spans="2:8" x14ac:dyDescent="0.2">
      <c r="B6" s="6">
        <f>RANK('4długot.'!C5,'4długot.'!$C$3:'4długot.'!$C$28,1)+COUNTIF('4długot.'!$C$3:'4długot.'!C5,'4długot.'!C5)-1</f>
        <v>8</v>
      </c>
      <c r="C6" s="5" t="str">
        <f>INDEX('4długot.'!B3:G28,MATCH(3,B4:B29,0),1)</f>
        <v xml:space="preserve">tarnobrzeski </v>
      </c>
      <c r="D6" s="6">
        <f>INDEX('4długot.'!B3:G28,MATCH(3,B4:B29,0),2)</f>
        <v>633</v>
      </c>
      <c r="E6" s="42">
        <f>INDEX('4długot.'!B3:G28,MATCH(3,B4:B29,0),3)</f>
        <v>620</v>
      </c>
      <c r="F6" s="6">
        <f>INDEX('4długot.'!B3:G28,MATCH(3,B4:B29,0),4)</f>
        <v>13</v>
      </c>
      <c r="G6" s="42">
        <f>INDEX('4długot.'!B3:G28,MATCH(3,B4:B29,0),5)</f>
        <v>618</v>
      </c>
      <c r="H6" s="6">
        <f>INDEX('4długot.'!B3:G28,MATCH(3,B4:B29,0),6)</f>
        <v>15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662</v>
      </c>
      <c r="E7" s="42">
        <f>INDEX('4długot.'!B3:G28,MATCH(4,B4:B29,0),3)</f>
        <v>644</v>
      </c>
      <c r="F7" s="6">
        <f>INDEX('4długot.'!B3:G28,MATCH(4,B4:B29,0),4)</f>
        <v>18</v>
      </c>
      <c r="G7" s="42">
        <f>INDEX('4długot.'!B3:G28,MATCH(4,B4:B29,0),5)</f>
        <v>622</v>
      </c>
      <c r="H7" s="6">
        <f>INDEX('4długot.'!B3:G28,MATCH(4,B4:B29,0),6)</f>
        <v>40</v>
      </c>
    </row>
    <row r="8" spans="2:8" x14ac:dyDescent="0.2">
      <c r="B8" s="6">
        <f>RANK('4długot.'!C7,'4długot.'!$C$3:'4długot.'!$C$28,1)+COUNTIF('4długot.'!$C$3:'4długot.'!C7,'4długot.'!C7)-1</f>
        <v>25</v>
      </c>
      <c r="C8" s="5" t="str">
        <f>INDEX('4długot.'!B3:G28,MATCH(5,B4:B29,0),1)</f>
        <v>kolbuszowski</v>
      </c>
      <c r="D8" s="6">
        <f>INDEX('4długot.'!B3:G28,MATCH(5,B4:B29,0),2)</f>
        <v>720</v>
      </c>
      <c r="E8" s="42">
        <f>INDEX('4długot.'!B3:G28,MATCH(5,B4:B29,0),3)</f>
        <v>718</v>
      </c>
      <c r="F8" s="6">
        <f>INDEX('4długot.'!B3:G28,MATCH(5,B4:B29,0),4)</f>
        <v>2</v>
      </c>
      <c r="G8" s="42">
        <f>INDEX('4długot.'!B3:G28,MATCH(5,B4:B29,0),5)</f>
        <v>747</v>
      </c>
      <c r="H8" s="6">
        <f>INDEX('4długot.'!B3:G28,MATCH(5,B4:B29,0),6)</f>
        <v>-27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stalowowolski</v>
      </c>
      <c r="D9" s="6">
        <f>INDEX('4długot.'!B3:G28,MATCH(6,B4:B29,0),2)</f>
        <v>897</v>
      </c>
      <c r="E9" s="42">
        <f>INDEX('4długot.'!B3:G28,MATCH(6,B4:B29,0),3)</f>
        <v>848</v>
      </c>
      <c r="F9" s="6">
        <f>INDEX('4długot.'!B3:G28,MATCH(6,B4:B29,0),4)</f>
        <v>49</v>
      </c>
      <c r="G9" s="42">
        <f>INDEX('4długot.'!B3:G28,MATCH(6,B4:B29,0),5)</f>
        <v>783</v>
      </c>
      <c r="H9" s="6">
        <f>INDEX('4długot.'!B3:G28,MATCH(6,B4:B29,0),6)</f>
        <v>114</v>
      </c>
    </row>
    <row r="10" spans="2:8" x14ac:dyDescent="0.2">
      <c r="B10" s="6">
        <f>RANK('4długot.'!C9,'4długot.'!$C$3:'4długot.'!$C$28,1)+COUNTIF('4długot.'!$C$3:'4długot.'!C9,'4długot.'!C9)-1</f>
        <v>9</v>
      </c>
      <c r="C10" s="9" t="str">
        <f>INDEX('4długot.'!B3:G28,MATCH(7,B4:B29,0),1)</f>
        <v>lubaczowski</v>
      </c>
      <c r="D10" s="6">
        <f>INDEX('4długot.'!B3:G28,MATCH(7,B4:B29,0),2)</f>
        <v>898</v>
      </c>
      <c r="E10" s="42">
        <f>INDEX('4długot.'!B3:G28,MATCH(7,B4:B29,0),3)</f>
        <v>899</v>
      </c>
      <c r="F10" s="6">
        <f>INDEX('4długot.'!B3:G28,MATCH(7,B4:B29,0),4)</f>
        <v>-1</v>
      </c>
      <c r="G10" s="42">
        <f>INDEX('4długot.'!B3:G28,MATCH(7,B4:B29,0),5)</f>
        <v>932</v>
      </c>
      <c r="H10" s="6">
        <f>INDEX('4długot.'!B3:G28,MATCH(7,B4:B29,0),6)</f>
        <v>-34</v>
      </c>
    </row>
    <row r="11" spans="2:8" x14ac:dyDescent="0.2">
      <c r="B11" s="6">
        <f>RANK('4długot.'!C10,'4długot.'!$C$3:'4długot.'!$C$28,1)+COUNTIF('4długot.'!$C$3:'4długot.'!C10,'4długot.'!C10)-1</f>
        <v>10</v>
      </c>
      <c r="C11" s="5" t="str">
        <f>INDEX('4długot.'!B3:G28,MATCH(8,B4:B29,0),1)</f>
        <v>dębicki</v>
      </c>
      <c r="D11" s="6">
        <f>INDEX('4długot.'!B3:G28,MATCH(8,B4:B29,0),2)</f>
        <v>964</v>
      </c>
      <c r="E11" s="42">
        <f>INDEX('4długot.'!B3:G28,MATCH(8,B4:B29,0),3)</f>
        <v>962</v>
      </c>
      <c r="F11" s="6">
        <f>INDEX('4długot.'!B3:G28,MATCH(8,B4:B29,0),4)</f>
        <v>2</v>
      </c>
      <c r="G11" s="42">
        <f>INDEX('4długot.'!B3:G28,MATCH(8,B4:B29,0),5)</f>
        <v>967</v>
      </c>
      <c r="H11" s="6">
        <f>INDEX('4długot.'!B3:G28,MATCH(8,B4:B29,0),6)</f>
        <v>-3</v>
      </c>
    </row>
    <row r="12" spans="2:8" x14ac:dyDescent="0.2">
      <c r="B12" s="6">
        <f>RANK('4długot.'!C11,'4długot.'!$C$3:'4długot.'!$C$28,1)+COUNTIF('4długot.'!$C$3:'4długot.'!C11,'4długot.'!C11)-1</f>
        <v>17</v>
      </c>
      <c r="C12" s="5" t="str">
        <f>INDEX('4długot.'!B3:G28,MATCH(9,B4:B29,0),1)</f>
        <v>krośnieński</v>
      </c>
      <c r="D12" s="6">
        <f>INDEX('4długot.'!B3:G28,MATCH(9,B4:B29,0),2)</f>
        <v>1020</v>
      </c>
      <c r="E12" s="42">
        <f>INDEX('4długot.'!B3:G28,MATCH(9,B4:B29,0),3)</f>
        <v>1008</v>
      </c>
      <c r="F12" s="6">
        <f>INDEX('4długot.'!B3:G28,MATCH(9,B4:B29,0),4)</f>
        <v>12</v>
      </c>
      <c r="G12" s="42">
        <f>INDEX('4długot.'!B3:G28,MATCH(9,B4:B29,0),5)</f>
        <v>961</v>
      </c>
      <c r="H12" s="6">
        <f>INDEX('4długot.'!B3:G28,MATCH(9,B4:B29,0),6)</f>
        <v>59</v>
      </c>
    </row>
    <row r="13" spans="2:8" x14ac:dyDescent="0.2">
      <c r="B13" s="6">
        <f>RANK('4długot.'!C12,'4długot.'!$C$3:'4długot.'!$C$28,1)+COUNTIF('4długot.'!$C$3:'4długot.'!C12,'4długot.'!C12)-1</f>
        <v>7</v>
      </c>
      <c r="C13" s="5" t="str">
        <f>INDEX('4długot.'!B3:G28,MATCH(10,B4:B29,0),1)</f>
        <v>leski</v>
      </c>
      <c r="D13" s="6">
        <f>INDEX('4długot.'!B3:G28,MATCH(10,B4:B29,0),2)</f>
        <v>1083</v>
      </c>
      <c r="E13" s="42">
        <f>INDEX('4długot.'!B3:G28,MATCH(10,B4:B29,0),3)</f>
        <v>1071</v>
      </c>
      <c r="F13" s="6">
        <f>INDEX('4długot.'!B3:G28,MATCH(10,B4:B29,0),4)</f>
        <v>12</v>
      </c>
      <c r="G13" s="42">
        <f>INDEX('4długot.'!B3:G28,MATCH(10,B4:B29,0),5)</f>
        <v>1086</v>
      </c>
      <c r="H13" s="6">
        <f>INDEX('4długot.'!B3:G28,MATCH(10,B4:B29,0),6)</f>
        <v>-3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1223</v>
      </c>
      <c r="E14" s="42">
        <f>INDEX('4długot.'!B3:G28,MATCH(11,B4:B29,0),3)</f>
        <v>1165</v>
      </c>
      <c r="F14" s="6">
        <f>INDEX('4długot.'!B3:G28,MATCH(11,B4:B29,0),4)</f>
        <v>58</v>
      </c>
      <c r="G14" s="42">
        <f>INDEX('4długot.'!B3:G28,MATCH(11,B4:B29,0),5)</f>
        <v>1282</v>
      </c>
      <c r="H14" s="6">
        <f>INDEX('4długot.'!B3:G28,MATCH(11,B4:B29,0),6)</f>
        <v>-59</v>
      </c>
    </row>
    <row r="15" spans="2:8" x14ac:dyDescent="0.2">
      <c r="B15" s="6">
        <f>RANK('4długot.'!C14,'4długot.'!$C$3:'4długot.'!$C$28,1)+COUNTIF('4długot.'!$C$3:'4długot.'!C14,'4długot.'!C14)-1</f>
        <v>13</v>
      </c>
      <c r="C15" s="5" t="str">
        <f>INDEX('4długot.'!B3:G28,MATCH(12,B4:B29,0),1)</f>
        <v>ropczycko-sędziszowski</v>
      </c>
      <c r="D15" s="6">
        <f>INDEX('4długot.'!B3:G28,MATCH(12,B4:B29,0),2)</f>
        <v>1339</v>
      </c>
      <c r="E15" s="42">
        <f>INDEX('4długot.'!B3:G28,MATCH(12,B4:B29,0),3)</f>
        <v>1309</v>
      </c>
      <c r="F15" s="6">
        <f>INDEX('4długot.'!B3:G28,MATCH(12,B4:B29,0),4)</f>
        <v>30</v>
      </c>
      <c r="G15" s="42">
        <f>INDEX('4długot.'!B3:G28,MATCH(12,B4:B29,0),5)</f>
        <v>1338</v>
      </c>
      <c r="H15" s="6">
        <f>INDEX('4długot.'!B3:G28,MATCH(12,B4:B29,0),6)</f>
        <v>1</v>
      </c>
    </row>
    <row r="16" spans="2:8" x14ac:dyDescent="0.2">
      <c r="B16" s="6">
        <f>RANK('4długot.'!C15,'4długot.'!$C$3:'4długot.'!$C$28,1)+COUNTIF('4długot.'!$C$3:'4długot.'!C15,'4długot.'!C15)-1</f>
        <v>16</v>
      </c>
      <c r="C16" s="5" t="str">
        <f>INDEX('4długot.'!B3:G28,MATCH(13,B4:B29,0),1)</f>
        <v>mielecki</v>
      </c>
      <c r="D16" s="6">
        <f>INDEX('4długot.'!B3:G28,MATCH(13,B4:B29,0),2)</f>
        <v>1490</v>
      </c>
      <c r="E16" s="42">
        <f>INDEX('4długot.'!B3:G28,MATCH(13,B4:B29,0),3)</f>
        <v>1482</v>
      </c>
      <c r="F16" s="6">
        <f>INDEX('4długot.'!B3:G28,MATCH(13,B4:B29,0),4)</f>
        <v>8</v>
      </c>
      <c r="G16" s="42">
        <f>INDEX('4długot.'!B3:G28,MATCH(13,B4:B29,0),5)</f>
        <v>1357</v>
      </c>
      <c r="H16" s="6">
        <f>INDEX('4długot.'!B3:G28,MATCH(13,B4:B29,0),6)</f>
        <v>133</v>
      </c>
    </row>
    <row r="17" spans="2:8" x14ac:dyDescent="0.2">
      <c r="B17" s="6">
        <f>RANK('4długot.'!C16,'4długot.'!$C$3:'4długot.'!$C$28,1)+COUNTIF('4długot.'!$C$3:'4długot.'!C16,'4długot.'!C16)-1</f>
        <v>18</v>
      </c>
      <c r="C17" s="5" t="str">
        <f>INDEX('4długot.'!B3:G28,MATCH(14,B4:B29,0),1)</f>
        <v>Przemyśl</v>
      </c>
      <c r="D17" s="6">
        <f>INDEX('4długot.'!B3:G28,MATCH(14,B4:B29,0),2)</f>
        <v>1515</v>
      </c>
      <c r="E17" s="42">
        <f>INDEX('4długot.'!B3:G28,MATCH(14,B4:B29,0),3)</f>
        <v>1484</v>
      </c>
      <c r="F17" s="6">
        <f>INDEX('4długot.'!B3:G28,MATCH(14,B4:B29,0),4)</f>
        <v>31</v>
      </c>
      <c r="G17" s="42">
        <f>INDEX('4długot.'!B3:G28,MATCH(14,B4:B29,0),5)</f>
        <v>1502</v>
      </c>
      <c r="H17" s="6">
        <f>INDEX('4długot.'!B3:G28,MATCH(14,B4:B29,0),6)</f>
        <v>13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sanocki</v>
      </c>
      <c r="D18" s="6">
        <f>INDEX('4długot.'!B3:G28,MATCH(15,B4:B29,0),2)</f>
        <v>1522</v>
      </c>
      <c r="E18" s="42">
        <f>INDEX('4długot.'!B3:G28,MATCH(15,B4:B29,0),3)</f>
        <v>1491</v>
      </c>
      <c r="F18" s="6">
        <f>INDEX('4długot.'!B3:G28,MATCH(15,B4:B29,0),4)</f>
        <v>31</v>
      </c>
      <c r="G18" s="42">
        <f>INDEX('4długot.'!B3:G28,MATCH(15,B4:B29,0),5)</f>
        <v>1399</v>
      </c>
      <c r="H18" s="6">
        <f>INDEX('4długot.'!B3:G28,MATCH(15,B4:B29,0),6)</f>
        <v>123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niżański</v>
      </c>
      <c r="D19" s="6">
        <f>INDEX('4długot.'!B3:G28,MATCH(16,B4:B29,0),2)</f>
        <v>1647</v>
      </c>
      <c r="E19" s="42">
        <f>INDEX('4długot.'!B3:G28,MATCH(16,B4:B29,0),3)</f>
        <v>1596</v>
      </c>
      <c r="F19" s="6">
        <f>INDEX('4długot.'!B3:G28,MATCH(16,B4:B29,0),4)</f>
        <v>51</v>
      </c>
      <c r="G19" s="42">
        <f>INDEX('4długot.'!B3:G28,MATCH(16,B4:B29,0),5)</f>
        <v>1673</v>
      </c>
      <c r="H19" s="6">
        <f>INDEX('4długot.'!B3:G28,MATCH(16,B4:B29,0),6)</f>
        <v>-26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leżajski</v>
      </c>
      <c r="D20" s="6">
        <f>INDEX('4długot.'!B3:G28,MATCH(17,B4:B29,0),2)</f>
        <v>1705</v>
      </c>
      <c r="E20" s="42">
        <f>INDEX('4długot.'!B3:G28,MATCH(17,B4:B29,0),3)</f>
        <v>1664</v>
      </c>
      <c r="F20" s="6">
        <f>INDEX('4długot.'!B3:G28,MATCH(17,B4:B29,0),4)</f>
        <v>41</v>
      </c>
      <c r="G20" s="42">
        <f>INDEX('4długot.'!B3:G28,MATCH(17,B4:B29,0),5)</f>
        <v>1777</v>
      </c>
      <c r="H20" s="6">
        <f>INDEX('4długot.'!B3:G28,MATCH(17,B4:B29,0),6)</f>
        <v>-72</v>
      </c>
    </row>
    <row r="21" spans="2:8" x14ac:dyDescent="0.2">
      <c r="B21" s="6">
        <f>RANK('4długot.'!C20,'4długot.'!$C$3:'4długot.'!$C$28,1)+COUNTIF('4długot.'!$C$3:'4długot.'!C20,'4długot.'!C20)-1</f>
        <v>15</v>
      </c>
      <c r="C21" s="5" t="str">
        <f>INDEX('4długot.'!B3:G28,MATCH(18,B4:B29,0),1)</f>
        <v>przemyski</v>
      </c>
      <c r="D21" s="6">
        <f>INDEX('4długot.'!B3:G28,MATCH(18,B4:B29,0),2)</f>
        <v>1725</v>
      </c>
      <c r="E21" s="42">
        <f>INDEX('4długot.'!B3:G28,MATCH(18,B4:B29,0),3)</f>
        <v>1669</v>
      </c>
      <c r="F21" s="6">
        <f>INDEX('4długot.'!B3:G28,MATCH(18,B4:B29,0),4)</f>
        <v>56</v>
      </c>
      <c r="G21" s="42">
        <f>INDEX('4długot.'!B3:G28,MATCH(18,B4:B29,0),5)</f>
        <v>1741</v>
      </c>
      <c r="H21" s="6">
        <f>INDEX('4długot.'!B3:G28,MATCH(18,B4:B29,0),6)</f>
        <v>-16</v>
      </c>
    </row>
    <row r="22" spans="2:8" x14ac:dyDescent="0.2">
      <c r="B22" s="6">
        <f>RANK('4długot.'!C21,'4długot.'!$C$3:'4długot.'!$C$28,1)+COUNTIF('4długot.'!$C$3:'4długot.'!C21,'4długot.'!C21)-1</f>
        <v>6</v>
      </c>
      <c r="C22" s="5" t="str">
        <f>INDEX('4długot.'!B3:G28,MATCH(19,B4:B29,0),1)</f>
        <v>strzyżowski</v>
      </c>
      <c r="D22" s="6">
        <f>INDEX('4długot.'!B3:G28,MATCH(19,B4:B29,0),2)</f>
        <v>1939</v>
      </c>
      <c r="E22" s="42">
        <f>INDEX('4długot.'!B3:G28,MATCH(19,B4:B29,0),3)</f>
        <v>1865</v>
      </c>
      <c r="F22" s="6">
        <f>INDEX('4długot.'!B3:G28,MATCH(19,B4:B29,0),4)</f>
        <v>74</v>
      </c>
      <c r="G22" s="42">
        <f>INDEX('4długot.'!B3:G28,MATCH(19,B4:B29,0),5)</f>
        <v>1949</v>
      </c>
      <c r="H22" s="6">
        <f>INDEX('4długot.'!B3:G28,MATCH(19,B4:B29,0),6)</f>
        <v>-10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1962</v>
      </c>
      <c r="E23" s="42">
        <f>INDEX('4długot.'!B3:G28,MATCH(20,B4:B29,0),3)</f>
        <v>1932</v>
      </c>
      <c r="F23" s="6">
        <f>INDEX('4długot.'!B3:G28,MATCH(20,B4:B29,0),4)</f>
        <v>30</v>
      </c>
      <c r="G23" s="42">
        <f>INDEX('4długot.'!B3:G28,MATCH(20,B4:B29,0),5)</f>
        <v>2015</v>
      </c>
      <c r="H23" s="6">
        <f>INDEX('4długot.'!B3:G28,MATCH(20,B4:B29,0),6)</f>
        <v>-53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2410</v>
      </c>
      <c r="E24" s="42">
        <f>INDEX('4długot.'!B3:G28,MATCH(21,B4:B29,0),3)</f>
        <v>2375</v>
      </c>
      <c r="F24" s="6">
        <f>INDEX('4długot.'!B3:G28,MATCH(21,B4:B29,0),4)</f>
        <v>35</v>
      </c>
      <c r="G24" s="42">
        <f>INDEX('4długot.'!B3:G28,MATCH(21,B4:B29,0),5)</f>
        <v>2466</v>
      </c>
      <c r="H24" s="6">
        <f>INDEX('4długot.'!B3:G28,MATCH(21,B4:B29,0),6)</f>
        <v>-56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2461</v>
      </c>
      <c r="E25" s="42">
        <f>INDEX('4długot.'!B3:G28,MATCH(22,B4:B29,0),3)</f>
        <v>2389</v>
      </c>
      <c r="F25" s="6">
        <f>INDEX('4długot.'!B3:G28,MATCH(22,B4:B29,0),4)</f>
        <v>72</v>
      </c>
      <c r="G25" s="42">
        <f>INDEX('4długot.'!B3:G28,MATCH(22,B4:B29,0),5)</f>
        <v>2444</v>
      </c>
      <c r="H25" s="6">
        <f>INDEX('4długot.'!B3:G28,MATCH(22,B4:B29,0),6)</f>
        <v>17</v>
      </c>
    </row>
    <row r="26" spans="2:8" x14ac:dyDescent="0.2">
      <c r="B26" s="6">
        <f>RANK('4długot.'!C25,'4długot.'!$C$3:'4długot.'!$C$28,1)+COUNTIF('4długot.'!$C$3:'4długot.'!C25,'4długot.'!C25)-1</f>
        <v>14</v>
      </c>
      <c r="C26" s="5" t="str">
        <f>INDEX('4długot.'!B3:G28,MATCH(23,B4:B29,0),1)</f>
        <v>rzeszowski</v>
      </c>
      <c r="D26" s="6">
        <f>INDEX('4długot.'!B3:G28,MATCH(23,B4:B29,0),2)</f>
        <v>2517</v>
      </c>
      <c r="E26" s="42">
        <f>INDEX('4długot.'!B3:G28,MATCH(23,B4:B29,0),3)</f>
        <v>2493</v>
      </c>
      <c r="F26" s="6">
        <f>INDEX('4długot.'!B3:G28,MATCH(23,B4:B29,0),4)</f>
        <v>24</v>
      </c>
      <c r="G26" s="42">
        <f>INDEX('4długot.'!B3:G28,MATCH(23,B4:B29,0),5)</f>
        <v>2594</v>
      </c>
      <c r="H26" s="6">
        <f>INDEX('4długot.'!B3:G28,MATCH(23,B4:B29,0),6)</f>
        <v>-77</v>
      </c>
    </row>
    <row r="27" spans="2:8" x14ac:dyDescent="0.2">
      <c r="B27" s="6">
        <f>RANK('4długot.'!C26,'4długot.'!$C$3:'4długot.'!$C$28,1)+COUNTIF('4długot.'!$C$3:'4długot.'!C26,'4długot.'!C26)-1</f>
        <v>24</v>
      </c>
      <c r="C27" s="5" t="str">
        <f>INDEX('4długot.'!B3:G28,MATCH(24,B4:B29,0),1)</f>
        <v>Rzeszów</v>
      </c>
      <c r="D27" s="6">
        <f>INDEX('4długot.'!B3:G28,MATCH(24,B4:B29,0),2)</f>
        <v>2872</v>
      </c>
      <c r="E27" s="42">
        <f>INDEX('4długot.'!B3:G28,MATCH(24,B4:B29,0),3)</f>
        <v>2868</v>
      </c>
      <c r="F27" s="6">
        <f>INDEX('4długot.'!B3:G28,MATCH(24,B4:B29,0),4)</f>
        <v>4</v>
      </c>
      <c r="G27" s="42">
        <f>INDEX('4długot.'!B3:G28,MATCH(24,B4:B29,0),5)</f>
        <v>3099</v>
      </c>
      <c r="H27" s="6">
        <f>INDEX('4długot.'!B3:G28,MATCH(24,B4:B29,0),6)</f>
        <v>-227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jasielski</v>
      </c>
      <c r="D28" s="6">
        <f>INDEX('4długot.'!B3:G28,MATCH(25,B4:B29,0),2)</f>
        <v>2990</v>
      </c>
      <c r="E28" s="42">
        <f>INDEX('4długot.'!B3:G28,MATCH(25,B4:B29,0),3)</f>
        <v>2954</v>
      </c>
      <c r="F28" s="6">
        <f>INDEX('4długot.'!B3:G28,MATCH(25,B4:B29,0),4)</f>
        <v>36</v>
      </c>
      <c r="G28" s="42">
        <f>INDEX('4długot.'!B3:G28,MATCH(25,B4:B29,0),5)</f>
        <v>3094</v>
      </c>
      <c r="H28" s="6">
        <f>INDEX('4długot.'!B3:G28,MATCH(25,B4:B29,0),6)</f>
        <v>-104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37056</v>
      </c>
      <c r="E29" s="44">
        <f>INDEX('4długot.'!B3:G28,MATCH(26,B4:B29,0),3)</f>
        <v>36374</v>
      </c>
      <c r="F29" s="40">
        <f>INDEX('4długot.'!B3:G28,MATCH(26,B4:B29,0),4)</f>
        <v>682</v>
      </c>
      <c r="G29" s="44">
        <f>INDEX('4długot.'!B3:G28,MATCH(26,B4:B29,0),5)</f>
        <v>37294</v>
      </c>
      <c r="H29" s="40">
        <f>INDEX('4długot.'!B3:G28,MATCH(26,B4:B29,0),6)</f>
        <v>-238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88</v>
      </c>
      <c r="D2" s="38" t="s">
        <v>87</v>
      </c>
      <c r="E2" s="37" t="s">
        <v>28</v>
      </c>
      <c r="F2" s="38" t="s">
        <v>89</v>
      </c>
      <c r="G2" s="37" t="s">
        <v>26</v>
      </c>
    </row>
    <row r="3" spans="2:8" x14ac:dyDescent="0.2">
      <c r="B3" s="5" t="s">
        <v>0</v>
      </c>
      <c r="C3" s="28">
        <v>316</v>
      </c>
      <c r="D3" s="42">
        <v>301</v>
      </c>
      <c r="E3" s="28">
        <f t="shared" ref="E3:E27" si="0">SUM(C3)-D3</f>
        <v>15</v>
      </c>
      <c r="F3" s="42">
        <v>288</v>
      </c>
      <c r="G3" s="28">
        <f t="shared" ref="G3:G27" si="1">SUM(C3)-F3</f>
        <v>28</v>
      </c>
      <c r="H3" s="7"/>
    </row>
    <row r="4" spans="2:8" x14ac:dyDescent="0.2">
      <c r="B4" s="5" t="s">
        <v>1</v>
      </c>
      <c r="C4" s="28">
        <v>1035</v>
      </c>
      <c r="D4" s="42">
        <v>997</v>
      </c>
      <c r="E4" s="28">
        <f t="shared" si="0"/>
        <v>38</v>
      </c>
      <c r="F4" s="42">
        <v>1052</v>
      </c>
      <c r="G4" s="28">
        <f t="shared" si="1"/>
        <v>-17</v>
      </c>
      <c r="H4" s="7"/>
    </row>
    <row r="5" spans="2:8" x14ac:dyDescent="0.2">
      <c r="B5" s="5" t="s">
        <v>2</v>
      </c>
      <c r="C5" s="28">
        <v>710</v>
      </c>
      <c r="D5" s="42">
        <v>711</v>
      </c>
      <c r="E5" s="28">
        <f t="shared" si="0"/>
        <v>-1</v>
      </c>
      <c r="F5" s="42">
        <v>710</v>
      </c>
      <c r="G5" s="28">
        <f t="shared" si="1"/>
        <v>0</v>
      </c>
      <c r="H5" s="7"/>
    </row>
    <row r="6" spans="2:8" x14ac:dyDescent="0.2">
      <c r="B6" s="5" t="s">
        <v>3</v>
      </c>
      <c r="C6" s="28">
        <v>1195</v>
      </c>
      <c r="D6" s="42">
        <v>1141</v>
      </c>
      <c r="E6" s="28">
        <f t="shared" si="0"/>
        <v>54</v>
      </c>
      <c r="F6" s="42">
        <v>1142</v>
      </c>
      <c r="G6" s="28">
        <f t="shared" si="1"/>
        <v>53</v>
      </c>
      <c r="H6" s="7"/>
    </row>
    <row r="7" spans="2:8" x14ac:dyDescent="0.2">
      <c r="B7" s="5" t="s">
        <v>4</v>
      </c>
      <c r="C7" s="28">
        <v>1284</v>
      </c>
      <c r="D7" s="42">
        <v>1257</v>
      </c>
      <c r="E7" s="28">
        <f t="shared" si="0"/>
        <v>27</v>
      </c>
      <c r="F7" s="42">
        <v>1349</v>
      </c>
      <c r="G7" s="28">
        <f t="shared" si="1"/>
        <v>-65</v>
      </c>
      <c r="H7" s="7"/>
    </row>
    <row r="8" spans="2:8" x14ac:dyDescent="0.2">
      <c r="B8" s="5" t="s">
        <v>5</v>
      </c>
      <c r="C8" s="28">
        <v>431</v>
      </c>
      <c r="D8" s="42">
        <v>418</v>
      </c>
      <c r="E8" s="28">
        <f t="shared" si="0"/>
        <v>13</v>
      </c>
      <c r="F8" s="42">
        <v>422</v>
      </c>
      <c r="G8" s="28">
        <f t="shared" si="1"/>
        <v>9</v>
      </c>
      <c r="H8" s="7"/>
    </row>
    <row r="9" spans="2:8" x14ac:dyDescent="0.2">
      <c r="B9" s="9" t="s">
        <v>6</v>
      </c>
      <c r="C9" s="28">
        <v>641</v>
      </c>
      <c r="D9" s="42">
        <v>610</v>
      </c>
      <c r="E9" s="28">
        <f t="shared" si="0"/>
        <v>31</v>
      </c>
      <c r="F9" s="42">
        <v>621</v>
      </c>
      <c r="G9" s="28">
        <f t="shared" si="1"/>
        <v>20</v>
      </c>
      <c r="H9" s="7"/>
    </row>
    <row r="10" spans="2:8" x14ac:dyDescent="0.2">
      <c r="B10" s="5" t="s">
        <v>7</v>
      </c>
      <c r="C10" s="28">
        <v>440</v>
      </c>
      <c r="D10" s="42">
        <v>435</v>
      </c>
      <c r="E10" s="28">
        <f t="shared" si="0"/>
        <v>5</v>
      </c>
      <c r="F10" s="42">
        <v>424</v>
      </c>
      <c r="G10" s="28">
        <f t="shared" si="1"/>
        <v>16</v>
      </c>
      <c r="H10" s="7"/>
    </row>
    <row r="11" spans="2:8" x14ac:dyDescent="0.2">
      <c r="B11" s="5" t="s">
        <v>8</v>
      </c>
      <c r="C11" s="28">
        <v>882</v>
      </c>
      <c r="D11" s="42">
        <v>832</v>
      </c>
      <c r="E11" s="28">
        <f t="shared" si="0"/>
        <v>50</v>
      </c>
      <c r="F11" s="42">
        <v>905</v>
      </c>
      <c r="G11" s="28">
        <f t="shared" si="1"/>
        <v>-23</v>
      </c>
      <c r="H11" s="7"/>
    </row>
    <row r="12" spans="2:8" x14ac:dyDescent="0.2">
      <c r="B12" s="5" t="s">
        <v>9</v>
      </c>
      <c r="C12" s="28">
        <v>495</v>
      </c>
      <c r="D12" s="42">
        <v>486</v>
      </c>
      <c r="E12" s="28">
        <f t="shared" si="0"/>
        <v>9</v>
      </c>
      <c r="F12" s="42">
        <v>553</v>
      </c>
      <c r="G12" s="28">
        <f t="shared" si="1"/>
        <v>-58</v>
      </c>
      <c r="H12" s="7"/>
    </row>
    <row r="13" spans="2:8" x14ac:dyDescent="0.2">
      <c r="B13" s="5" t="s">
        <v>10</v>
      </c>
      <c r="C13" s="28">
        <v>765</v>
      </c>
      <c r="D13" s="42">
        <v>736</v>
      </c>
      <c r="E13" s="28">
        <f t="shared" si="0"/>
        <v>29</v>
      </c>
      <c r="F13" s="42">
        <v>728</v>
      </c>
      <c r="G13" s="28">
        <f t="shared" si="1"/>
        <v>37</v>
      </c>
      <c r="H13" s="7"/>
    </row>
    <row r="14" spans="2:8" x14ac:dyDescent="0.2">
      <c r="B14" s="5" t="s">
        <v>11</v>
      </c>
      <c r="C14" s="28">
        <v>832</v>
      </c>
      <c r="D14" s="42">
        <v>815</v>
      </c>
      <c r="E14" s="28">
        <f t="shared" si="0"/>
        <v>17</v>
      </c>
      <c r="F14" s="42">
        <v>825</v>
      </c>
      <c r="G14" s="28">
        <f t="shared" si="1"/>
        <v>7</v>
      </c>
      <c r="H14" s="7"/>
    </row>
    <row r="15" spans="2:8" x14ac:dyDescent="0.2">
      <c r="B15" s="5" t="s">
        <v>12</v>
      </c>
      <c r="C15" s="28">
        <v>791</v>
      </c>
      <c r="D15" s="42">
        <v>759</v>
      </c>
      <c r="E15" s="28">
        <f t="shared" si="0"/>
        <v>32</v>
      </c>
      <c r="F15" s="42">
        <v>828</v>
      </c>
      <c r="G15" s="28">
        <f t="shared" si="1"/>
        <v>-37</v>
      </c>
      <c r="H15" s="7"/>
    </row>
    <row r="16" spans="2:8" x14ac:dyDescent="0.2">
      <c r="B16" s="5" t="s">
        <v>13</v>
      </c>
      <c r="C16" s="28">
        <v>789</v>
      </c>
      <c r="D16" s="42">
        <v>752</v>
      </c>
      <c r="E16" s="28">
        <f t="shared" si="0"/>
        <v>37</v>
      </c>
      <c r="F16" s="42">
        <v>828</v>
      </c>
      <c r="G16" s="28">
        <f t="shared" si="1"/>
        <v>-39</v>
      </c>
      <c r="H16" s="7"/>
    </row>
    <row r="17" spans="2:8" x14ac:dyDescent="0.2">
      <c r="B17" s="5" t="s">
        <v>14</v>
      </c>
      <c r="C17" s="28">
        <v>929</v>
      </c>
      <c r="D17" s="42">
        <v>909</v>
      </c>
      <c r="E17" s="28">
        <f t="shared" si="0"/>
        <v>20</v>
      </c>
      <c r="F17" s="42">
        <v>951</v>
      </c>
      <c r="G17" s="28">
        <f t="shared" si="1"/>
        <v>-22</v>
      </c>
      <c r="H17" s="7"/>
    </row>
    <row r="18" spans="2:8" x14ac:dyDescent="0.2">
      <c r="B18" s="5" t="s">
        <v>15</v>
      </c>
      <c r="C18" s="28">
        <v>859</v>
      </c>
      <c r="D18" s="42">
        <v>842</v>
      </c>
      <c r="E18" s="28">
        <f t="shared" si="0"/>
        <v>17</v>
      </c>
      <c r="F18" s="42">
        <v>742</v>
      </c>
      <c r="G18" s="28">
        <f t="shared" si="1"/>
        <v>117</v>
      </c>
      <c r="H18" s="7"/>
    </row>
    <row r="19" spans="2:8" x14ac:dyDescent="0.2">
      <c r="B19" s="5" t="s">
        <v>16</v>
      </c>
      <c r="C19" s="28">
        <v>1224</v>
      </c>
      <c r="D19" s="42">
        <v>1200</v>
      </c>
      <c r="E19" s="28">
        <f t="shared" si="0"/>
        <v>24</v>
      </c>
      <c r="F19" s="42">
        <v>1237</v>
      </c>
      <c r="G19" s="28">
        <f t="shared" si="1"/>
        <v>-13</v>
      </c>
      <c r="H19" s="7"/>
    </row>
    <row r="20" spans="2:8" x14ac:dyDescent="0.2">
      <c r="B20" s="5" t="s">
        <v>17</v>
      </c>
      <c r="C20" s="28">
        <v>793</v>
      </c>
      <c r="D20" s="42">
        <v>751</v>
      </c>
      <c r="E20" s="28">
        <f t="shared" si="0"/>
        <v>42</v>
      </c>
      <c r="F20" s="42">
        <v>749</v>
      </c>
      <c r="G20" s="28">
        <f t="shared" si="1"/>
        <v>44</v>
      </c>
      <c r="H20" s="7"/>
    </row>
    <row r="21" spans="2:8" x14ac:dyDescent="0.2">
      <c r="B21" s="5" t="s">
        <v>18</v>
      </c>
      <c r="C21" s="28">
        <v>538</v>
      </c>
      <c r="D21" s="42">
        <v>541</v>
      </c>
      <c r="E21" s="28">
        <f t="shared" si="0"/>
        <v>-3</v>
      </c>
      <c r="F21" s="42">
        <v>530</v>
      </c>
      <c r="G21" s="28">
        <f t="shared" si="1"/>
        <v>8</v>
      </c>
      <c r="H21" s="7"/>
    </row>
    <row r="22" spans="2:8" x14ac:dyDescent="0.2">
      <c r="B22" s="5" t="s">
        <v>19</v>
      </c>
      <c r="C22" s="28">
        <v>864</v>
      </c>
      <c r="D22" s="42">
        <v>818</v>
      </c>
      <c r="E22" s="28">
        <f t="shared" si="0"/>
        <v>46</v>
      </c>
      <c r="F22" s="42">
        <v>884</v>
      </c>
      <c r="G22" s="28">
        <f t="shared" si="1"/>
        <v>-20</v>
      </c>
      <c r="H22" s="7"/>
    </row>
    <row r="23" spans="2:8" x14ac:dyDescent="0.2">
      <c r="B23" s="5" t="s">
        <v>20</v>
      </c>
      <c r="C23" s="28">
        <v>314</v>
      </c>
      <c r="D23" s="42">
        <v>332</v>
      </c>
      <c r="E23" s="28">
        <f t="shared" si="0"/>
        <v>-18</v>
      </c>
      <c r="F23" s="42">
        <v>323</v>
      </c>
      <c r="G23" s="28">
        <f t="shared" si="1"/>
        <v>-9</v>
      </c>
      <c r="H23" s="7"/>
    </row>
    <row r="24" spans="2:8" x14ac:dyDescent="0.2">
      <c r="B24" s="5" t="s">
        <v>21</v>
      </c>
      <c r="C24" s="28">
        <v>189</v>
      </c>
      <c r="D24" s="42">
        <v>167</v>
      </c>
      <c r="E24" s="28">
        <f t="shared" si="0"/>
        <v>22</v>
      </c>
      <c r="F24" s="42">
        <v>151</v>
      </c>
      <c r="G24" s="28">
        <f t="shared" si="1"/>
        <v>38</v>
      </c>
      <c r="H24" s="7"/>
    </row>
    <row r="25" spans="2:8" x14ac:dyDescent="0.2">
      <c r="B25" s="5" t="s">
        <v>22</v>
      </c>
      <c r="C25" s="28">
        <v>430</v>
      </c>
      <c r="D25" s="42">
        <v>423</v>
      </c>
      <c r="E25" s="28">
        <f t="shared" si="0"/>
        <v>7</v>
      </c>
      <c r="F25" s="42">
        <v>401</v>
      </c>
      <c r="G25" s="28">
        <f t="shared" si="1"/>
        <v>29</v>
      </c>
      <c r="H25" s="7"/>
    </row>
    <row r="26" spans="2:8" x14ac:dyDescent="0.2">
      <c r="B26" s="5" t="s">
        <v>23</v>
      </c>
      <c r="C26" s="28">
        <v>963</v>
      </c>
      <c r="D26" s="42">
        <v>973</v>
      </c>
      <c r="E26" s="28">
        <f t="shared" si="0"/>
        <v>-10</v>
      </c>
      <c r="F26" s="42">
        <v>902</v>
      </c>
      <c r="G26" s="28">
        <f t="shared" si="1"/>
        <v>61</v>
      </c>
      <c r="H26" s="7"/>
    </row>
    <row r="27" spans="2:8" x14ac:dyDescent="0.2">
      <c r="B27" s="5" t="s">
        <v>24</v>
      </c>
      <c r="C27" s="28">
        <v>206</v>
      </c>
      <c r="D27" s="42">
        <v>200</v>
      </c>
      <c r="E27" s="28">
        <f t="shared" si="0"/>
        <v>6</v>
      </c>
      <c r="F27" s="42">
        <v>217</v>
      </c>
      <c r="G27" s="28">
        <f t="shared" si="1"/>
        <v>-11</v>
      </c>
      <c r="H27" s="7"/>
    </row>
    <row r="28" spans="2:8" ht="15" x14ac:dyDescent="0.25">
      <c r="B28" s="39" t="s">
        <v>25</v>
      </c>
      <c r="C28" s="48">
        <f>SUM(C3:C27)</f>
        <v>17915</v>
      </c>
      <c r="D28" s="44">
        <f>SUM(D3:D27)</f>
        <v>17406</v>
      </c>
      <c r="E28" s="48">
        <f>SUM(E3:E27)</f>
        <v>509</v>
      </c>
      <c r="F28" s="44">
        <f>SUM(F3:F27)</f>
        <v>17762</v>
      </c>
      <c r="G28" s="48">
        <f>SUM(G3:G27)</f>
        <v>153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31-12-'24 r.</v>
      </c>
      <c r="E3" s="36" t="str">
        <f>T('5do 30 r.ż.'!D2)</f>
        <v>liczba bezrobotnych do 30 r. ż. stan na 30-11-'24 r.</v>
      </c>
      <c r="F3" s="36" t="str">
        <f>T('5do 30 r.ż.'!E2)</f>
        <v>wzrost/spadek do poprzedniego  miesiąca</v>
      </c>
      <c r="G3" s="36" t="str">
        <f>T('5do 30 r.ż.'!F2)</f>
        <v>liczba bezrobotnych do 30 r. ż. stan na 31-12-'23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4</v>
      </c>
      <c r="C4" s="5" t="str">
        <f>INDEX('5do 30 r.ż.'!B3:G28,MATCH(1,B4:B29,0),1)</f>
        <v>Krosno</v>
      </c>
      <c r="D4" s="24">
        <f>INDEX('5do 30 r.ż.'!B3:G28,MATCH(1,B4:B29,0),2)</f>
        <v>189</v>
      </c>
      <c r="E4" s="42">
        <f>INDEX('5do 30 r.ż.'!B3:G28,MATCH(1,B4:B29,0),3)</f>
        <v>167</v>
      </c>
      <c r="F4" s="6">
        <f>INDEX('5do 30 r.ż.'!B3:G28,MATCH(1,B4:B29,0),4)</f>
        <v>22</v>
      </c>
      <c r="G4" s="42">
        <f>INDEX('5do 30 r.ż.'!B3:G28,MATCH(1,B4:B29,0),5)</f>
        <v>151</v>
      </c>
      <c r="H4" s="6">
        <f>INDEX('5do 30 r.ż.'!B3:G28,MATCH(1,B4:B29,0),6)</f>
        <v>38</v>
      </c>
    </row>
    <row r="5" spans="2:8" x14ac:dyDescent="0.2">
      <c r="B5" s="6">
        <f>RANK('5do 30 r.ż.'!C4,'5do 30 r.ż.'!$C$3:'5do 30 r.ż.'!$C$28,1)+COUNTIF('5do 30 r.ż.'!$C$3:'5do 30 r.ż.'!C4,'5do 30 r.ż.'!C4)-1</f>
        <v>22</v>
      </c>
      <c r="C5" s="5" t="str">
        <f>INDEX('5do 30 r.ż.'!B3:G28,MATCH(2,B4:B29,0),1)</f>
        <v>Tarnobrzeg</v>
      </c>
      <c r="D5" s="6">
        <f>INDEX('5do 30 r.ż.'!B3:G28,MATCH(2,B4:B29,0),2)</f>
        <v>206</v>
      </c>
      <c r="E5" s="42">
        <f>INDEX('5do 30 r.ż.'!B3:G28,MATCH(2,B4:B29,0),3)</f>
        <v>200</v>
      </c>
      <c r="F5" s="6">
        <f>INDEX('5do 30 r.ż.'!B3:G28,MATCH(2,B4:B29,0),4)</f>
        <v>6</v>
      </c>
      <c r="G5" s="42">
        <f>INDEX('5do 30 r.ż.'!B3:G28,MATCH(2,B4:B29,0),5)</f>
        <v>217</v>
      </c>
      <c r="H5" s="6">
        <f>INDEX('5do 30 r.ż.'!B3:G28,MATCH(2,B4:B29,0),6)</f>
        <v>-11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 xml:space="preserve">tarnobrzeski </v>
      </c>
      <c r="D6" s="6">
        <f>INDEX('5do 30 r.ż.'!B3:G28,MATCH(3,B4:B29,0),2)</f>
        <v>314</v>
      </c>
      <c r="E6" s="42">
        <f>INDEX('5do 30 r.ż.'!B3:G28,MATCH(3,B4:B29,0),3)</f>
        <v>332</v>
      </c>
      <c r="F6" s="6">
        <f>INDEX('5do 30 r.ż.'!B3:G28,MATCH(3,B4:B29,0),4)</f>
        <v>-18</v>
      </c>
      <c r="G6" s="42">
        <f>INDEX('5do 30 r.ż.'!B3:G28,MATCH(3,B4:B29,0),5)</f>
        <v>323</v>
      </c>
      <c r="H6" s="6">
        <f>INDEX('5do 30 r.ż.'!B3:G28,MATCH(3,B4:B29,0),6)</f>
        <v>-9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>bieszczadzki</v>
      </c>
      <c r="D7" s="6">
        <f>INDEX('5do 30 r.ż.'!B3:G28,MATCH(4,B4:B29,0),2)</f>
        <v>316</v>
      </c>
      <c r="E7" s="42">
        <f>INDEX('5do 30 r.ż.'!B3:G28,MATCH(4,B4:B29,0),3)</f>
        <v>301</v>
      </c>
      <c r="F7" s="6">
        <f>INDEX('5do 30 r.ż.'!B3:G28,MATCH(4,B4:B29,0),4)</f>
        <v>15</v>
      </c>
      <c r="G7" s="42">
        <f>INDEX('5do 30 r.ż.'!B3:G28,MATCH(4,B4:B29,0),5)</f>
        <v>288</v>
      </c>
      <c r="H7" s="6">
        <f>INDEX('5do 30 r.ż.'!B3:G28,MATCH(4,B4:B29,0),6)</f>
        <v>28</v>
      </c>
    </row>
    <row r="8" spans="2:8" x14ac:dyDescent="0.2">
      <c r="B8" s="6">
        <f>RANK('5do 30 r.ż.'!C7,'5do 30 r.ż.'!$C$3:'5do 30 r.ż.'!$C$28,1)+COUNTIF('5do 30 r.ż.'!$C$3:'5do 30 r.ż.'!C7,'5do 30 r.ż.'!C7)-1</f>
        <v>25</v>
      </c>
      <c r="C8" s="5" t="str">
        <f>INDEX('5do 30 r.ż.'!B3:G28,MATCH(5,B4:B29,0),1)</f>
        <v>Przemyśl</v>
      </c>
      <c r="D8" s="6">
        <f>INDEX('5do 30 r.ż.'!B3:G28,MATCH(5,B4:B29,0),2)</f>
        <v>430</v>
      </c>
      <c r="E8" s="42">
        <f>INDEX('5do 30 r.ż.'!B3:G28,MATCH(5,B4:B29,0),3)</f>
        <v>423</v>
      </c>
      <c r="F8" s="6">
        <f>INDEX('5do 30 r.ż.'!B3:G28,MATCH(5,B4:B29,0),4)</f>
        <v>7</v>
      </c>
      <c r="G8" s="42">
        <f>INDEX('5do 30 r.ż.'!B3:G28,MATCH(5,B4:B29,0),5)</f>
        <v>401</v>
      </c>
      <c r="H8" s="6">
        <f>INDEX('5do 30 r.ż.'!B3:G28,MATCH(5,B4:B29,0),6)</f>
        <v>29</v>
      </c>
    </row>
    <row r="9" spans="2:8" x14ac:dyDescent="0.2">
      <c r="B9" s="6">
        <f>RANK('5do 30 r.ż.'!C8,'5do 30 r.ż.'!$C$3:'5do 30 r.ż.'!$C$28,1)+COUNTIF('5do 30 r.ż.'!$C$3:'5do 30 r.ż.'!C8,'5do 30 r.ż.'!C8)-1</f>
        <v>6</v>
      </c>
      <c r="C9" s="5" t="str">
        <f>INDEX('5do 30 r.ż.'!B3:G28,MATCH(6,B4:B29,0),1)</f>
        <v>kolbuszowski</v>
      </c>
      <c r="D9" s="6">
        <f>INDEX('5do 30 r.ż.'!B3:G28,MATCH(6,B4:B29,0),2)</f>
        <v>431</v>
      </c>
      <c r="E9" s="42">
        <f>INDEX('5do 30 r.ż.'!B3:G28,MATCH(6,B4:B29,0),3)</f>
        <v>418</v>
      </c>
      <c r="F9" s="6">
        <f>INDEX('5do 30 r.ż.'!B3:G28,MATCH(6,B4:B29,0),4)</f>
        <v>13</v>
      </c>
      <c r="G9" s="42">
        <f>INDEX('5do 30 r.ż.'!B3:G28,MATCH(6,B4:B29,0),5)</f>
        <v>422</v>
      </c>
      <c r="H9" s="6">
        <f>INDEX('5do 30 r.ż.'!B3:G28,MATCH(6,B4:B29,0),6)</f>
        <v>9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leski</v>
      </c>
      <c r="D10" s="6">
        <f>INDEX('5do 30 r.ż.'!B3:G28,MATCH(7,B4:B29,0),2)</f>
        <v>440</v>
      </c>
      <c r="E10" s="42">
        <f>INDEX('5do 30 r.ż.'!B3:G28,MATCH(7,B4:B29,0),3)</f>
        <v>435</v>
      </c>
      <c r="F10" s="6">
        <f>INDEX('5do 30 r.ż.'!B3:G28,MATCH(7,B4:B29,0),4)</f>
        <v>5</v>
      </c>
      <c r="G10" s="42">
        <f>INDEX('5do 30 r.ż.'!B3:G28,MATCH(7,B4:B29,0),5)</f>
        <v>424</v>
      </c>
      <c r="H10" s="6">
        <f>INDEX('5do 30 r.ż.'!B3:G28,MATCH(7,B4:B29,0),6)</f>
        <v>16</v>
      </c>
    </row>
    <row r="11" spans="2:8" x14ac:dyDescent="0.2">
      <c r="B11" s="6">
        <f>RANK('5do 30 r.ż.'!C10,'5do 30 r.ż.'!$C$3:'5do 30 r.ż.'!$C$28,1)+COUNTIF('5do 30 r.ż.'!$C$3:'5do 30 r.ż.'!C10,'5do 30 r.ż.'!C10)-1</f>
        <v>7</v>
      </c>
      <c r="C11" s="5" t="str">
        <f>INDEX('5do 30 r.ż.'!B3:G28,MATCH(8,B4:B29,0),1)</f>
        <v>lubaczowski</v>
      </c>
      <c r="D11" s="6">
        <f>INDEX('5do 30 r.ż.'!B3:G28,MATCH(8,B4:B29,0),2)</f>
        <v>495</v>
      </c>
      <c r="E11" s="42">
        <f>INDEX('5do 30 r.ż.'!B3:G28,MATCH(8,B4:B29,0),3)</f>
        <v>486</v>
      </c>
      <c r="F11" s="6">
        <f>INDEX('5do 30 r.ż.'!B3:G28,MATCH(8,B4:B29,0),4)</f>
        <v>9</v>
      </c>
      <c r="G11" s="42">
        <f>INDEX('5do 30 r.ż.'!B3:G28,MATCH(8,B4:B29,0),5)</f>
        <v>553</v>
      </c>
      <c r="H11" s="6">
        <f>INDEX('5do 30 r.ż.'!B3:G28,MATCH(8,B4:B29,0),6)</f>
        <v>-58</v>
      </c>
    </row>
    <row r="12" spans="2:8" x14ac:dyDescent="0.2">
      <c r="B12" s="6">
        <f>RANK('5do 30 r.ż.'!C11,'5do 30 r.ż.'!$C$3:'5do 30 r.ż.'!$C$28,1)+COUNTIF('5do 30 r.ż.'!$C$3:'5do 30 r.ż.'!C11,'5do 30 r.ż.'!C11)-1</f>
        <v>19</v>
      </c>
      <c r="C12" s="5" t="str">
        <f>INDEX('5do 30 r.ż.'!B3:G28,MATCH(9,B4:B29,0),1)</f>
        <v>stalowowolski</v>
      </c>
      <c r="D12" s="6">
        <f>INDEX('5do 30 r.ż.'!B3:G28,MATCH(9,B4:B29,0),2)</f>
        <v>538</v>
      </c>
      <c r="E12" s="42">
        <f>INDEX('5do 30 r.ż.'!B3:G28,MATCH(9,B4:B29,0),3)</f>
        <v>541</v>
      </c>
      <c r="F12" s="6">
        <f>INDEX('5do 30 r.ż.'!B3:G28,MATCH(9,B4:B29,0),4)</f>
        <v>-3</v>
      </c>
      <c r="G12" s="42">
        <f>INDEX('5do 30 r.ż.'!B3:G28,MATCH(9,B4:B29,0),5)</f>
        <v>530</v>
      </c>
      <c r="H12" s="6">
        <f>INDEX('5do 30 r.ż.'!B3:G28,MATCH(9,B4:B29,0),6)</f>
        <v>8</v>
      </c>
    </row>
    <row r="13" spans="2:8" x14ac:dyDescent="0.2">
      <c r="B13" s="6">
        <f>RANK('5do 30 r.ż.'!C12,'5do 30 r.ż.'!$C$3:'5do 30 r.ż.'!$C$28,1)+COUNTIF('5do 30 r.ż.'!$C$3:'5do 30 r.ż.'!C12,'5do 30 r.ż.'!C12)-1</f>
        <v>8</v>
      </c>
      <c r="C13" s="5" t="str">
        <f>INDEX('5do 30 r.ż.'!B3:G28,MATCH(10,B4:B29,0),1)</f>
        <v>krośnieński</v>
      </c>
      <c r="D13" s="6">
        <f>INDEX('5do 30 r.ż.'!B3:G28,MATCH(10,B4:B29,0),2)</f>
        <v>641</v>
      </c>
      <c r="E13" s="42">
        <f>INDEX('5do 30 r.ż.'!B3:G28,MATCH(10,B4:B29,0),3)</f>
        <v>610</v>
      </c>
      <c r="F13" s="6">
        <f>INDEX('5do 30 r.ż.'!B3:G28,MATCH(10,B4:B29,0),4)</f>
        <v>31</v>
      </c>
      <c r="G13" s="42">
        <f>INDEX('5do 30 r.ż.'!B3:G28,MATCH(10,B4:B29,0),5)</f>
        <v>621</v>
      </c>
      <c r="H13" s="6">
        <f>INDEX('5do 30 r.ż.'!B3:G28,MATCH(10,B4:B29,0),6)</f>
        <v>20</v>
      </c>
    </row>
    <row r="14" spans="2:8" x14ac:dyDescent="0.2">
      <c r="B14" s="6">
        <f>RANK('5do 30 r.ż.'!C13,'5do 30 r.ż.'!$C$3:'5do 30 r.ż.'!$C$28,1)+COUNTIF('5do 30 r.ż.'!$C$3:'5do 30 r.ż.'!C13,'5do 30 r.ż.'!C13)-1</f>
        <v>12</v>
      </c>
      <c r="C14" s="5" t="str">
        <f>INDEX('5do 30 r.ż.'!B3:G28,MATCH(11,B4:B29,0),1)</f>
        <v>dębicki</v>
      </c>
      <c r="D14" s="6">
        <f>INDEX('5do 30 r.ż.'!B3:G28,MATCH(11,B4:B29,0),2)</f>
        <v>710</v>
      </c>
      <c r="E14" s="42">
        <f>INDEX('5do 30 r.ż.'!B3:G28,MATCH(11,B4:B29,0),3)</f>
        <v>711</v>
      </c>
      <c r="F14" s="6">
        <f>INDEX('5do 30 r.ż.'!B3:G28,MATCH(11,B4:B29,0),4)</f>
        <v>-1</v>
      </c>
      <c r="G14" s="42">
        <f>INDEX('5do 30 r.ż.'!B3:G28,MATCH(11,B4:B29,0),5)</f>
        <v>710</v>
      </c>
      <c r="H14" s="6">
        <f>INDEX('5do 30 r.ż.'!B3:G28,MATCH(11,B4:B29,0),6)</f>
        <v>0</v>
      </c>
    </row>
    <row r="15" spans="2:8" x14ac:dyDescent="0.2">
      <c r="B15" s="6">
        <f>RANK('5do 30 r.ż.'!C14,'5do 30 r.ż.'!$C$3:'5do 30 r.ż.'!$C$28,1)+COUNTIF('5do 30 r.ż.'!$C$3:'5do 30 r.ż.'!C14,'5do 30 r.ż.'!C14)-1</f>
        <v>16</v>
      </c>
      <c r="C15" s="5" t="str">
        <f>INDEX('5do 30 r.ż.'!B3:G28,MATCH(12,B4:B29,0),1)</f>
        <v>łańcucki</v>
      </c>
      <c r="D15" s="6">
        <f>INDEX('5do 30 r.ż.'!B3:G28,MATCH(12,B4:B29,0),2)</f>
        <v>765</v>
      </c>
      <c r="E15" s="42">
        <f>INDEX('5do 30 r.ż.'!B3:G28,MATCH(12,B4:B29,0),3)</f>
        <v>736</v>
      </c>
      <c r="F15" s="6">
        <f>INDEX('5do 30 r.ż.'!B3:G28,MATCH(12,B4:B29,0),4)</f>
        <v>29</v>
      </c>
      <c r="G15" s="42">
        <f>INDEX('5do 30 r.ż.'!B3:G28,MATCH(12,B4:B29,0),5)</f>
        <v>728</v>
      </c>
      <c r="H15" s="6">
        <f>INDEX('5do 30 r.ż.'!B3:G28,MATCH(12,B4:B29,0),6)</f>
        <v>37</v>
      </c>
    </row>
    <row r="16" spans="2:8" x14ac:dyDescent="0.2">
      <c r="B16" s="6">
        <f>RANK('5do 30 r.ż.'!C15,'5do 30 r.ż.'!$C$3:'5do 30 r.ż.'!$C$28,1)+COUNTIF('5do 30 r.ż.'!$C$3:'5do 30 r.ż.'!C15,'5do 30 r.ż.'!C15)-1</f>
        <v>14</v>
      </c>
      <c r="C16" s="5" t="str">
        <f>INDEX('5do 30 r.ż.'!B3:G28,MATCH(13,B4:B29,0),1)</f>
        <v>przemyski</v>
      </c>
      <c r="D16" s="6">
        <f>INDEX('5do 30 r.ż.'!B3:G28,MATCH(13,B4:B29,0),2)</f>
        <v>789</v>
      </c>
      <c r="E16" s="42">
        <f>INDEX('5do 30 r.ż.'!B3:G28,MATCH(13,B4:B29,0),3)</f>
        <v>752</v>
      </c>
      <c r="F16" s="6">
        <f>INDEX('5do 30 r.ż.'!B3:G28,MATCH(13,B4:B29,0),4)</f>
        <v>37</v>
      </c>
      <c r="G16" s="42">
        <f>INDEX('5do 30 r.ż.'!B3:G28,MATCH(13,B4:B29,0),5)</f>
        <v>828</v>
      </c>
      <c r="H16" s="6">
        <f>INDEX('5do 30 r.ż.'!B3:G28,MATCH(13,B4:B29,0),6)</f>
        <v>-39</v>
      </c>
    </row>
    <row r="17" spans="2:8" x14ac:dyDescent="0.2">
      <c r="B17" s="6">
        <f>RANK('5do 30 r.ż.'!C16,'5do 30 r.ż.'!$C$3:'5do 30 r.ż.'!$C$28,1)+COUNTIF('5do 30 r.ż.'!$C$3:'5do 30 r.ż.'!C16,'5do 30 r.ż.'!C16)-1</f>
        <v>13</v>
      </c>
      <c r="C17" s="5" t="str">
        <f>INDEX('5do 30 r.ż.'!B3:G28,MATCH(14,B4:B29,0),1)</f>
        <v>niżański</v>
      </c>
      <c r="D17" s="6">
        <f>INDEX('5do 30 r.ż.'!B3:G28,MATCH(14,B4:B29,0),2)</f>
        <v>791</v>
      </c>
      <c r="E17" s="42">
        <f>INDEX('5do 30 r.ż.'!B3:G28,MATCH(14,B4:B29,0),3)</f>
        <v>759</v>
      </c>
      <c r="F17" s="6">
        <f>INDEX('5do 30 r.ż.'!B3:G28,MATCH(14,B4:B29,0),4)</f>
        <v>32</v>
      </c>
      <c r="G17" s="42">
        <f>INDEX('5do 30 r.ż.'!B3:G28,MATCH(14,B4:B29,0),5)</f>
        <v>828</v>
      </c>
      <c r="H17" s="6">
        <f>INDEX('5do 30 r.ż.'!B3:G28,MATCH(14,B4:B29,0),6)</f>
        <v>-37</v>
      </c>
    </row>
    <row r="18" spans="2:8" x14ac:dyDescent="0.2">
      <c r="B18" s="6">
        <f>RANK('5do 30 r.ż.'!C17,'5do 30 r.ż.'!$C$3:'5do 30 r.ż.'!$C$28,1)+COUNTIF('5do 30 r.ż.'!$C$3:'5do 30 r.ż.'!C17,'5do 30 r.ż.'!C17)-1</f>
        <v>20</v>
      </c>
      <c r="C18" s="5" t="str">
        <f>INDEX('5do 30 r.ż.'!B3:G28,MATCH(15,B4:B29,0),1)</f>
        <v>sanocki</v>
      </c>
      <c r="D18" s="6">
        <f>INDEX('5do 30 r.ż.'!B3:G28,MATCH(15,B4:B29,0),2)</f>
        <v>793</v>
      </c>
      <c r="E18" s="42">
        <f>INDEX('5do 30 r.ż.'!B3:G28,MATCH(15,B4:B29,0),3)</f>
        <v>751</v>
      </c>
      <c r="F18" s="6">
        <f>INDEX('5do 30 r.ż.'!B3:G28,MATCH(15,B4:B29,0),4)</f>
        <v>42</v>
      </c>
      <c r="G18" s="42">
        <f>INDEX('5do 30 r.ż.'!B3:G28,MATCH(15,B4:B29,0),5)</f>
        <v>749</v>
      </c>
      <c r="H18" s="6">
        <f>INDEX('5do 30 r.ż.'!B3:G28,MATCH(15,B4:B29,0),6)</f>
        <v>44</v>
      </c>
    </row>
    <row r="19" spans="2:8" x14ac:dyDescent="0.2">
      <c r="B19" s="6">
        <f>RANK('5do 30 r.ż.'!C18,'5do 30 r.ż.'!$C$3:'5do 30 r.ż.'!$C$28,1)+COUNTIF('5do 30 r.ż.'!$C$3:'5do 30 r.ż.'!C18,'5do 30 r.ż.'!C18)-1</f>
        <v>17</v>
      </c>
      <c r="C19" s="5" t="str">
        <f>INDEX('5do 30 r.ż.'!B3:G28,MATCH(16,B4:B29,0),1)</f>
        <v>mielecki</v>
      </c>
      <c r="D19" s="6">
        <f>INDEX('5do 30 r.ż.'!B3:G28,MATCH(16,B4:B29,0),2)</f>
        <v>832</v>
      </c>
      <c r="E19" s="42">
        <f>INDEX('5do 30 r.ż.'!B3:G28,MATCH(16,B4:B29,0),3)</f>
        <v>815</v>
      </c>
      <c r="F19" s="6">
        <f>INDEX('5do 30 r.ż.'!B3:G28,MATCH(16,B4:B29,0),4)</f>
        <v>17</v>
      </c>
      <c r="G19" s="42">
        <f>INDEX('5do 30 r.ż.'!B3:G28,MATCH(16,B4:B29,0),5)</f>
        <v>825</v>
      </c>
      <c r="H19" s="6">
        <f>INDEX('5do 30 r.ż.'!B3:G28,MATCH(16,B4:B29,0),6)</f>
        <v>7</v>
      </c>
    </row>
    <row r="20" spans="2:8" x14ac:dyDescent="0.2">
      <c r="B20" s="6">
        <f>RANK('5do 30 r.ż.'!C19,'5do 30 r.ż.'!$C$3:'5do 30 r.ż.'!$C$28,1)+COUNTIF('5do 30 r.ż.'!$C$3:'5do 30 r.ż.'!C19,'5do 30 r.ż.'!C19)-1</f>
        <v>24</v>
      </c>
      <c r="C20" s="5" t="str">
        <f>INDEX('5do 30 r.ż.'!B3:G28,MATCH(17,B4:B29,0),1)</f>
        <v>ropczycko-sędziszowski</v>
      </c>
      <c r="D20" s="6">
        <f>INDEX('5do 30 r.ż.'!B3:G28,MATCH(17,B4:B29,0),2)</f>
        <v>859</v>
      </c>
      <c r="E20" s="42">
        <f>INDEX('5do 30 r.ż.'!B3:G28,MATCH(17,B4:B29,0),3)</f>
        <v>842</v>
      </c>
      <c r="F20" s="6">
        <f>INDEX('5do 30 r.ż.'!B3:G28,MATCH(17,B4:B29,0),4)</f>
        <v>17</v>
      </c>
      <c r="G20" s="42">
        <f>INDEX('5do 30 r.ż.'!B3:G28,MATCH(17,B4:B29,0),5)</f>
        <v>742</v>
      </c>
      <c r="H20" s="6">
        <f>INDEX('5do 30 r.ż.'!B3:G28,MATCH(17,B4:B29,0),6)</f>
        <v>117</v>
      </c>
    </row>
    <row r="21" spans="2:8" x14ac:dyDescent="0.2">
      <c r="B21" s="6">
        <f>RANK('5do 30 r.ż.'!C20,'5do 30 r.ż.'!$C$3:'5do 30 r.ż.'!$C$28,1)+COUNTIF('5do 30 r.ż.'!$C$3:'5do 30 r.ż.'!C20,'5do 30 r.ż.'!C20)-1</f>
        <v>15</v>
      </c>
      <c r="C21" s="5" t="str">
        <f>INDEX('5do 30 r.ż.'!B3:G28,MATCH(18,B4:B29,0),1)</f>
        <v>strzyżowski</v>
      </c>
      <c r="D21" s="6">
        <f>INDEX('5do 30 r.ż.'!B3:G28,MATCH(18,B4:B29,0),2)</f>
        <v>864</v>
      </c>
      <c r="E21" s="42">
        <f>INDEX('5do 30 r.ż.'!B3:G28,MATCH(18,B4:B29,0),3)</f>
        <v>818</v>
      </c>
      <c r="F21" s="6">
        <f>INDEX('5do 30 r.ż.'!B3:G28,MATCH(18,B4:B29,0),4)</f>
        <v>46</v>
      </c>
      <c r="G21" s="42">
        <f>INDEX('5do 30 r.ż.'!B3:G28,MATCH(18,B4:B29,0),5)</f>
        <v>884</v>
      </c>
      <c r="H21" s="6">
        <f>INDEX('5do 30 r.ż.'!B3:G28,MATCH(18,B4:B29,0),6)</f>
        <v>-20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leżajski</v>
      </c>
      <c r="D22" s="6">
        <f>INDEX('5do 30 r.ż.'!B3:G28,MATCH(19,B4:B29,0),2)</f>
        <v>882</v>
      </c>
      <c r="E22" s="42">
        <f>INDEX('5do 30 r.ż.'!B3:G28,MATCH(19,B4:B29,0),3)</f>
        <v>832</v>
      </c>
      <c r="F22" s="6">
        <f>INDEX('5do 30 r.ż.'!B3:G28,MATCH(19,B4:B29,0),4)</f>
        <v>50</v>
      </c>
      <c r="G22" s="42">
        <f>INDEX('5do 30 r.ż.'!B3:G28,MATCH(19,B4:B29,0),5)</f>
        <v>905</v>
      </c>
      <c r="H22" s="6">
        <f>INDEX('5do 30 r.ż.'!B3:G28,MATCH(19,B4:B29,0),6)</f>
        <v>-23</v>
      </c>
    </row>
    <row r="23" spans="2:8" x14ac:dyDescent="0.2">
      <c r="B23" s="6">
        <f>RANK('5do 30 r.ż.'!C22,'5do 30 r.ż.'!$C$3:'5do 30 r.ż.'!$C$28,1)+COUNTIF('5do 30 r.ż.'!$C$3:'5do 30 r.ż.'!C22,'5do 30 r.ż.'!C22)-1</f>
        <v>18</v>
      </c>
      <c r="C23" s="5" t="str">
        <f>INDEX('5do 30 r.ż.'!B3:G28,MATCH(20,B4:B29,0),1)</f>
        <v>przeworski</v>
      </c>
      <c r="D23" s="6">
        <f>INDEX('5do 30 r.ż.'!B3:G28,MATCH(20,B4:B29,0),2)</f>
        <v>929</v>
      </c>
      <c r="E23" s="42">
        <f>INDEX('5do 30 r.ż.'!B3:G28,MATCH(20,B4:B29,0),3)</f>
        <v>909</v>
      </c>
      <c r="F23" s="6">
        <f>INDEX('5do 30 r.ż.'!B3:G28,MATCH(20,B4:B29,0),4)</f>
        <v>20</v>
      </c>
      <c r="G23" s="42">
        <f>INDEX('5do 30 r.ż.'!B3:G28,MATCH(20,B4:B29,0),5)</f>
        <v>951</v>
      </c>
      <c r="H23" s="6">
        <f>INDEX('5do 30 r.ż.'!B3:G28,MATCH(20,B4:B29,0),6)</f>
        <v>-22</v>
      </c>
    </row>
    <row r="24" spans="2:8" x14ac:dyDescent="0.2">
      <c r="B24" s="6">
        <f>RANK('5do 30 r.ż.'!C23,'5do 30 r.ż.'!$C$3:'5do 30 r.ż.'!$C$28,1)+COUNTIF('5do 30 r.ż.'!$C$3:'5do 30 r.ż.'!C23,'5do 30 r.ż.'!C23)-1</f>
        <v>3</v>
      </c>
      <c r="C24" s="5" t="str">
        <f>INDEX('5do 30 r.ż.'!B3:G28,MATCH(21,B4:B29,0),1)</f>
        <v>Rzeszów</v>
      </c>
      <c r="D24" s="6">
        <f>INDEX('5do 30 r.ż.'!B3:G28,MATCH(21,B4:B29,0),2)</f>
        <v>963</v>
      </c>
      <c r="E24" s="42">
        <f>INDEX('5do 30 r.ż.'!B3:G28,MATCH(21,B4:B29,0),3)</f>
        <v>973</v>
      </c>
      <c r="F24" s="6">
        <f>INDEX('5do 30 r.ż.'!B3:G28,MATCH(21,B4:B29,0),4)</f>
        <v>-10</v>
      </c>
      <c r="G24" s="42">
        <f>INDEX('5do 30 r.ż.'!B3:G28,MATCH(21,B4:B29,0),5)</f>
        <v>902</v>
      </c>
      <c r="H24" s="6">
        <f>INDEX('5do 30 r.ż.'!B3:G28,MATCH(21,B4:B29,0),6)</f>
        <v>61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brzozowski</v>
      </c>
      <c r="D25" s="6">
        <f>INDEX('5do 30 r.ż.'!B3:G28,MATCH(22,B4:B29,0),2)</f>
        <v>1035</v>
      </c>
      <c r="E25" s="42">
        <f>INDEX('5do 30 r.ż.'!B3:G28,MATCH(22,B4:B29,0),3)</f>
        <v>997</v>
      </c>
      <c r="F25" s="6">
        <f>INDEX('5do 30 r.ż.'!B3:G28,MATCH(22,B4:B29,0),4)</f>
        <v>38</v>
      </c>
      <c r="G25" s="42">
        <f>INDEX('5do 30 r.ż.'!B3:G28,MATCH(22,B4:B29,0),5)</f>
        <v>1052</v>
      </c>
      <c r="H25" s="6">
        <f>INDEX('5do 30 r.ż.'!B3:G28,MATCH(22,B4:B29,0),6)</f>
        <v>-17</v>
      </c>
    </row>
    <row r="26" spans="2:8" x14ac:dyDescent="0.2">
      <c r="B26" s="6">
        <f>RANK('5do 30 r.ż.'!C25,'5do 30 r.ż.'!$C$3:'5do 30 r.ż.'!$C$28,1)+COUNTIF('5do 30 r.ż.'!$C$3:'5do 30 r.ż.'!C25,'5do 30 r.ż.'!C25)-1</f>
        <v>5</v>
      </c>
      <c r="C26" s="5" t="str">
        <f>INDEX('5do 30 r.ż.'!B3:G28,MATCH(23,B4:B29,0),1)</f>
        <v>jarosławski</v>
      </c>
      <c r="D26" s="6">
        <f>INDEX('5do 30 r.ż.'!B3:G28,MATCH(23,B4:B29,0),2)</f>
        <v>1195</v>
      </c>
      <c r="E26" s="42">
        <f>INDEX('5do 30 r.ż.'!B3:G28,MATCH(23,B4:B29,0),3)</f>
        <v>1141</v>
      </c>
      <c r="F26" s="6">
        <f>INDEX('5do 30 r.ż.'!B3:G28,MATCH(23,B4:B29,0),4)</f>
        <v>54</v>
      </c>
      <c r="G26" s="42">
        <f>INDEX('5do 30 r.ż.'!B3:G28,MATCH(23,B4:B29,0),5)</f>
        <v>1142</v>
      </c>
      <c r="H26" s="6">
        <f>INDEX('5do 30 r.ż.'!B3:G28,MATCH(23,B4:B29,0),6)</f>
        <v>53</v>
      </c>
    </row>
    <row r="27" spans="2:8" x14ac:dyDescent="0.2">
      <c r="B27" s="6">
        <f>RANK('5do 30 r.ż.'!C26,'5do 30 r.ż.'!$C$3:'5do 30 r.ż.'!$C$28,1)+COUNTIF('5do 30 r.ż.'!$C$3:'5do 30 r.ż.'!C26,'5do 30 r.ż.'!C26)-1</f>
        <v>21</v>
      </c>
      <c r="C27" s="5" t="str">
        <f>INDEX('5do 30 r.ż.'!B3:G28,MATCH(24,B4:B29,0),1)</f>
        <v>rzeszowski</v>
      </c>
      <c r="D27" s="6">
        <f>INDEX('5do 30 r.ż.'!B3:G28,MATCH(24,B4:B29,0),2)</f>
        <v>1224</v>
      </c>
      <c r="E27" s="42">
        <f>INDEX('5do 30 r.ż.'!B3:G28,MATCH(24,B4:B29,0),3)</f>
        <v>1200</v>
      </c>
      <c r="F27" s="6">
        <f>INDEX('5do 30 r.ż.'!B3:G28,MATCH(24,B4:B29,0),4)</f>
        <v>24</v>
      </c>
      <c r="G27" s="42">
        <f>INDEX('5do 30 r.ż.'!B3:G28,MATCH(24,B4:B29,0),5)</f>
        <v>1237</v>
      </c>
      <c r="H27" s="6">
        <f>INDEX('5do 30 r.ż.'!B3:G28,MATCH(24,B4:B29,0),6)</f>
        <v>-13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jasielski</v>
      </c>
      <c r="D28" s="6">
        <f>INDEX('5do 30 r.ż.'!B3:G28,MATCH(25,B4:B29,0),2)</f>
        <v>1284</v>
      </c>
      <c r="E28" s="42">
        <f>INDEX('5do 30 r.ż.'!B3:G28,MATCH(25,B4:B29,0),3)</f>
        <v>1257</v>
      </c>
      <c r="F28" s="6">
        <f>INDEX('5do 30 r.ż.'!B3:G28,MATCH(25,B4:B29,0),4)</f>
        <v>27</v>
      </c>
      <c r="G28" s="42">
        <f>INDEX('5do 30 r.ż.'!B3:G28,MATCH(25,B4:B29,0),5)</f>
        <v>1349</v>
      </c>
      <c r="H28" s="6">
        <f>INDEX('5do 30 r.ż.'!B3:G28,MATCH(25,B4:B29,0),6)</f>
        <v>-65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17915</v>
      </c>
      <c r="E29" s="44">
        <f>INDEX('5do 30 r.ż.'!B3:G28,MATCH(26,B4:B29,0),3)</f>
        <v>17406</v>
      </c>
      <c r="F29" s="40">
        <f>INDEX('5do 30 r.ż.'!B3:G28,MATCH(26,B4:B29,0),4)</f>
        <v>509</v>
      </c>
      <c r="G29" s="44">
        <f>INDEX('5do 30 r.ż.'!B3:G28,MATCH(26,B4:B29,0),5)</f>
        <v>17762</v>
      </c>
      <c r="H29" s="40">
        <f>INDEX('5do 30 r.ż.'!B3:G28,MATCH(26,B4:B29,0),6)</f>
        <v>153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5.28515625" style="3" customWidth="1"/>
    <col min="6" max="6" width="13.7109375" style="3" customWidth="1"/>
    <col min="7" max="7" width="15.425781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91</v>
      </c>
      <c r="D2" s="38" t="s">
        <v>90</v>
      </c>
      <c r="E2" s="37" t="s">
        <v>28</v>
      </c>
      <c r="F2" s="38" t="s">
        <v>92</v>
      </c>
      <c r="G2" s="37" t="s">
        <v>26</v>
      </c>
    </row>
    <row r="3" spans="2:8" x14ac:dyDescent="0.2">
      <c r="B3" s="5" t="s">
        <v>0</v>
      </c>
      <c r="C3" s="28">
        <v>247</v>
      </c>
      <c r="D3" s="42">
        <v>235</v>
      </c>
      <c r="E3" s="28">
        <f t="shared" ref="E3:E27" si="0">SUM(C3)-D3</f>
        <v>12</v>
      </c>
      <c r="F3" s="42">
        <v>244</v>
      </c>
      <c r="G3" s="28">
        <f t="shared" ref="G3:G27" si="1">SUM(C3)-F3</f>
        <v>3</v>
      </c>
      <c r="H3" s="7"/>
    </row>
    <row r="4" spans="2:8" x14ac:dyDescent="0.2">
      <c r="B4" s="5" t="s">
        <v>1</v>
      </c>
      <c r="C4" s="28">
        <v>903</v>
      </c>
      <c r="D4" s="42">
        <v>884</v>
      </c>
      <c r="E4" s="28">
        <f t="shared" si="0"/>
        <v>19</v>
      </c>
      <c r="F4" s="42">
        <v>938</v>
      </c>
      <c r="G4" s="28">
        <f t="shared" si="1"/>
        <v>-35</v>
      </c>
      <c r="H4" s="7"/>
    </row>
    <row r="5" spans="2:8" x14ac:dyDescent="0.2">
      <c r="B5" s="5" t="s">
        <v>2</v>
      </c>
      <c r="C5" s="28">
        <v>528</v>
      </c>
      <c r="D5" s="42">
        <v>526</v>
      </c>
      <c r="E5" s="28">
        <f t="shared" si="0"/>
        <v>2</v>
      </c>
      <c r="F5" s="42">
        <v>556</v>
      </c>
      <c r="G5" s="28">
        <f t="shared" si="1"/>
        <v>-28</v>
      </c>
      <c r="H5" s="7"/>
    </row>
    <row r="6" spans="2:8" x14ac:dyDescent="0.2">
      <c r="B6" s="5" t="s">
        <v>3</v>
      </c>
      <c r="C6" s="28">
        <v>1102</v>
      </c>
      <c r="D6" s="42">
        <v>1060</v>
      </c>
      <c r="E6" s="28">
        <f t="shared" si="0"/>
        <v>42</v>
      </c>
      <c r="F6" s="42">
        <v>1051</v>
      </c>
      <c r="G6" s="28">
        <f t="shared" si="1"/>
        <v>51</v>
      </c>
      <c r="H6" s="7"/>
    </row>
    <row r="7" spans="2:8" x14ac:dyDescent="0.2">
      <c r="B7" s="5" t="s">
        <v>4</v>
      </c>
      <c r="C7" s="28">
        <v>1157</v>
      </c>
      <c r="D7" s="42">
        <v>1119</v>
      </c>
      <c r="E7" s="28">
        <f t="shared" si="0"/>
        <v>38</v>
      </c>
      <c r="F7" s="42">
        <v>1160</v>
      </c>
      <c r="G7" s="28">
        <f t="shared" si="1"/>
        <v>-3</v>
      </c>
      <c r="H7" s="7"/>
    </row>
    <row r="8" spans="2:8" x14ac:dyDescent="0.2">
      <c r="B8" s="5" t="s">
        <v>5</v>
      </c>
      <c r="C8" s="28">
        <v>416</v>
      </c>
      <c r="D8" s="42">
        <v>408</v>
      </c>
      <c r="E8" s="28">
        <f t="shared" si="0"/>
        <v>8</v>
      </c>
      <c r="F8" s="42">
        <v>398</v>
      </c>
      <c r="G8" s="28">
        <f t="shared" si="1"/>
        <v>18</v>
      </c>
      <c r="H8" s="7"/>
    </row>
    <row r="9" spans="2:8" x14ac:dyDescent="0.2">
      <c r="B9" s="9" t="s">
        <v>6</v>
      </c>
      <c r="C9" s="28">
        <v>606</v>
      </c>
      <c r="D9" s="42">
        <v>590</v>
      </c>
      <c r="E9" s="28">
        <f t="shared" si="0"/>
        <v>16</v>
      </c>
      <c r="F9" s="42">
        <v>581</v>
      </c>
      <c r="G9" s="28">
        <f t="shared" si="1"/>
        <v>25</v>
      </c>
      <c r="H9" s="7"/>
    </row>
    <row r="10" spans="2:8" x14ac:dyDescent="0.2">
      <c r="B10" s="5" t="s">
        <v>7</v>
      </c>
      <c r="C10" s="28">
        <v>455</v>
      </c>
      <c r="D10" s="42">
        <v>437</v>
      </c>
      <c r="E10" s="28">
        <f t="shared" si="0"/>
        <v>18</v>
      </c>
      <c r="F10" s="42">
        <v>431</v>
      </c>
      <c r="G10" s="28">
        <f t="shared" si="1"/>
        <v>24</v>
      </c>
      <c r="H10" s="7"/>
    </row>
    <row r="11" spans="2:8" x14ac:dyDescent="0.2">
      <c r="B11" s="5" t="s">
        <v>8</v>
      </c>
      <c r="C11" s="28">
        <v>679</v>
      </c>
      <c r="D11" s="42">
        <v>659</v>
      </c>
      <c r="E11" s="28">
        <f t="shared" si="0"/>
        <v>20</v>
      </c>
      <c r="F11" s="42">
        <v>739</v>
      </c>
      <c r="G11" s="28">
        <f t="shared" si="1"/>
        <v>-60</v>
      </c>
      <c r="H11" s="7"/>
    </row>
    <row r="12" spans="2:8" x14ac:dyDescent="0.2">
      <c r="B12" s="5" t="s">
        <v>9</v>
      </c>
      <c r="C12" s="28">
        <v>470</v>
      </c>
      <c r="D12" s="42">
        <v>465</v>
      </c>
      <c r="E12" s="28">
        <f t="shared" si="0"/>
        <v>5</v>
      </c>
      <c r="F12" s="42">
        <v>522</v>
      </c>
      <c r="G12" s="28">
        <f t="shared" si="1"/>
        <v>-52</v>
      </c>
      <c r="H12" s="7"/>
    </row>
    <row r="13" spans="2:8" x14ac:dyDescent="0.2">
      <c r="B13" s="5" t="s">
        <v>10</v>
      </c>
      <c r="C13" s="28">
        <v>599</v>
      </c>
      <c r="D13" s="42">
        <v>567</v>
      </c>
      <c r="E13" s="28">
        <f t="shared" si="0"/>
        <v>32</v>
      </c>
      <c r="F13" s="42">
        <v>596</v>
      </c>
      <c r="G13" s="28">
        <f t="shared" si="1"/>
        <v>3</v>
      </c>
      <c r="H13" s="7"/>
    </row>
    <row r="14" spans="2:8" x14ac:dyDescent="0.2">
      <c r="B14" s="5" t="s">
        <v>11</v>
      </c>
      <c r="C14" s="28">
        <v>756</v>
      </c>
      <c r="D14" s="42">
        <v>743</v>
      </c>
      <c r="E14" s="28">
        <f t="shared" si="0"/>
        <v>13</v>
      </c>
      <c r="F14" s="42">
        <v>765</v>
      </c>
      <c r="G14" s="28">
        <f t="shared" si="1"/>
        <v>-9</v>
      </c>
      <c r="H14" s="7"/>
    </row>
    <row r="15" spans="2:8" x14ac:dyDescent="0.2">
      <c r="B15" s="5" t="s">
        <v>12</v>
      </c>
      <c r="C15" s="28">
        <v>695</v>
      </c>
      <c r="D15" s="42">
        <v>694</v>
      </c>
      <c r="E15" s="28">
        <f t="shared" si="0"/>
        <v>1</v>
      </c>
      <c r="F15" s="42">
        <v>717</v>
      </c>
      <c r="G15" s="28">
        <f t="shared" si="1"/>
        <v>-22</v>
      </c>
      <c r="H15" s="7"/>
    </row>
    <row r="16" spans="2:8" x14ac:dyDescent="0.2">
      <c r="B16" s="5" t="s">
        <v>13</v>
      </c>
      <c r="C16" s="28">
        <v>732</v>
      </c>
      <c r="D16" s="42">
        <v>678</v>
      </c>
      <c r="E16" s="28">
        <f t="shared" si="0"/>
        <v>54</v>
      </c>
      <c r="F16" s="42">
        <v>730</v>
      </c>
      <c r="G16" s="28">
        <f t="shared" si="1"/>
        <v>2</v>
      </c>
      <c r="H16" s="7"/>
    </row>
    <row r="17" spans="2:8" x14ac:dyDescent="0.2">
      <c r="B17" s="5" t="s">
        <v>14</v>
      </c>
      <c r="C17" s="28">
        <v>736</v>
      </c>
      <c r="D17" s="42">
        <v>706</v>
      </c>
      <c r="E17" s="28">
        <f t="shared" si="0"/>
        <v>30</v>
      </c>
      <c r="F17" s="42">
        <v>733</v>
      </c>
      <c r="G17" s="28">
        <f t="shared" si="1"/>
        <v>3</v>
      </c>
      <c r="H17" s="7"/>
    </row>
    <row r="18" spans="2:8" x14ac:dyDescent="0.2">
      <c r="B18" s="5" t="s">
        <v>15</v>
      </c>
      <c r="C18" s="28">
        <v>576</v>
      </c>
      <c r="D18" s="42">
        <v>558</v>
      </c>
      <c r="E18" s="28">
        <f t="shared" si="0"/>
        <v>18</v>
      </c>
      <c r="F18" s="42">
        <v>620</v>
      </c>
      <c r="G18" s="28">
        <f t="shared" si="1"/>
        <v>-44</v>
      </c>
      <c r="H18" s="7"/>
    </row>
    <row r="19" spans="2:8" x14ac:dyDescent="0.2">
      <c r="B19" s="5" t="s">
        <v>16</v>
      </c>
      <c r="C19" s="28">
        <v>1111</v>
      </c>
      <c r="D19" s="42">
        <v>1085</v>
      </c>
      <c r="E19" s="28">
        <f t="shared" si="0"/>
        <v>26</v>
      </c>
      <c r="F19" s="42">
        <v>1159</v>
      </c>
      <c r="G19" s="28">
        <f t="shared" si="1"/>
        <v>-48</v>
      </c>
      <c r="H19" s="7"/>
    </row>
    <row r="20" spans="2:8" x14ac:dyDescent="0.2">
      <c r="B20" s="5" t="s">
        <v>17</v>
      </c>
      <c r="C20" s="28">
        <v>673</v>
      </c>
      <c r="D20" s="42">
        <v>658</v>
      </c>
      <c r="E20" s="28">
        <f t="shared" si="0"/>
        <v>15</v>
      </c>
      <c r="F20" s="42">
        <v>634</v>
      </c>
      <c r="G20" s="28">
        <f t="shared" si="1"/>
        <v>39</v>
      </c>
      <c r="H20" s="7"/>
    </row>
    <row r="21" spans="2:8" x14ac:dyDescent="0.2">
      <c r="B21" s="5" t="s">
        <v>18</v>
      </c>
      <c r="C21" s="28">
        <v>565</v>
      </c>
      <c r="D21" s="42">
        <v>521</v>
      </c>
      <c r="E21" s="28">
        <f t="shared" si="0"/>
        <v>44</v>
      </c>
      <c r="F21" s="42">
        <v>505</v>
      </c>
      <c r="G21" s="28">
        <f t="shared" si="1"/>
        <v>60</v>
      </c>
      <c r="H21" s="7"/>
    </row>
    <row r="22" spans="2:8" x14ac:dyDescent="0.2">
      <c r="B22" s="5" t="s">
        <v>19</v>
      </c>
      <c r="C22" s="28">
        <v>764</v>
      </c>
      <c r="D22" s="42">
        <v>709</v>
      </c>
      <c r="E22" s="28">
        <f t="shared" si="0"/>
        <v>55</v>
      </c>
      <c r="F22" s="42">
        <v>750</v>
      </c>
      <c r="G22" s="28">
        <f t="shared" si="1"/>
        <v>14</v>
      </c>
      <c r="H22" s="7"/>
    </row>
    <row r="23" spans="2:8" x14ac:dyDescent="0.2">
      <c r="B23" s="5" t="s">
        <v>20</v>
      </c>
      <c r="C23" s="28">
        <v>346</v>
      </c>
      <c r="D23" s="42">
        <v>338</v>
      </c>
      <c r="E23" s="28">
        <f t="shared" si="0"/>
        <v>8</v>
      </c>
      <c r="F23" s="42">
        <v>361</v>
      </c>
      <c r="G23" s="28">
        <f t="shared" si="1"/>
        <v>-15</v>
      </c>
      <c r="H23" s="7"/>
    </row>
    <row r="24" spans="2:8" x14ac:dyDescent="0.2">
      <c r="B24" s="5" t="s">
        <v>21</v>
      </c>
      <c r="C24" s="28">
        <v>195</v>
      </c>
      <c r="D24" s="42">
        <v>191</v>
      </c>
      <c r="E24" s="28">
        <f t="shared" si="0"/>
        <v>4</v>
      </c>
      <c r="F24" s="42">
        <v>190</v>
      </c>
      <c r="G24" s="28">
        <f t="shared" si="1"/>
        <v>5</v>
      </c>
      <c r="H24" s="7"/>
    </row>
    <row r="25" spans="2:8" x14ac:dyDescent="0.2">
      <c r="B25" s="5" t="s">
        <v>22</v>
      </c>
      <c r="C25" s="28">
        <v>722</v>
      </c>
      <c r="D25" s="42">
        <v>702</v>
      </c>
      <c r="E25" s="28">
        <f t="shared" si="0"/>
        <v>20</v>
      </c>
      <c r="F25" s="42">
        <v>715</v>
      </c>
      <c r="G25" s="28">
        <f t="shared" si="1"/>
        <v>7</v>
      </c>
      <c r="H25" s="7"/>
    </row>
    <row r="26" spans="2:8" x14ac:dyDescent="0.2">
      <c r="B26" s="5" t="s">
        <v>23</v>
      </c>
      <c r="C26" s="28">
        <v>1308</v>
      </c>
      <c r="D26" s="42">
        <v>1308</v>
      </c>
      <c r="E26" s="28">
        <f t="shared" si="0"/>
        <v>0</v>
      </c>
      <c r="F26" s="42">
        <v>1364</v>
      </c>
      <c r="G26" s="28">
        <f t="shared" si="1"/>
        <v>-56</v>
      </c>
      <c r="H26" s="7"/>
    </row>
    <row r="27" spans="2:8" x14ac:dyDescent="0.2">
      <c r="B27" s="5" t="s">
        <v>24</v>
      </c>
      <c r="C27" s="28">
        <v>293</v>
      </c>
      <c r="D27" s="42">
        <v>287</v>
      </c>
      <c r="E27" s="28">
        <f t="shared" si="0"/>
        <v>6</v>
      </c>
      <c r="F27" s="42">
        <v>282</v>
      </c>
      <c r="G27" s="28">
        <f t="shared" si="1"/>
        <v>11</v>
      </c>
      <c r="H27" s="7"/>
    </row>
    <row r="28" spans="2:8" ht="15" x14ac:dyDescent="0.25">
      <c r="B28" s="39" t="s">
        <v>25</v>
      </c>
      <c r="C28" s="48">
        <f>SUM(C3:C27)</f>
        <v>16634</v>
      </c>
      <c r="D28" s="44">
        <f>SUM(D3:D27)</f>
        <v>16128</v>
      </c>
      <c r="E28" s="48">
        <f>SUM(E3:E27)</f>
        <v>506</v>
      </c>
      <c r="F28" s="44">
        <f>SUM(F3:F27)</f>
        <v>16741</v>
      </c>
      <c r="G28" s="48">
        <f>SUM(G3:G27)</f>
        <v>-107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31-12-'24 r.</v>
      </c>
      <c r="E3" s="36" t="str">
        <f>T('6pow. 50 r.ż.'!D2)</f>
        <v>liczba bezrobotnych 50+ stan na 30-11'24 r.</v>
      </c>
      <c r="F3" s="36" t="str">
        <f>T('6pow. 50 r.ż.'!E2)</f>
        <v>wzrost/spadek do poprzedniego  miesiąca</v>
      </c>
      <c r="G3" s="36" t="str">
        <f>T('6pow. 50 r.ż.'!F2)</f>
        <v>liczba bezrobotnych 50+ stan na 31-12-'23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195</v>
      </c>
      <c r="E4" s="42">
        <f>INDEX('6pow. 50 r.ż.'!B3:G28,MATCH(1,B4:B29,0),3)</f>
        <v>191</v>
      </c>
      <c r="F4" s="6">
        <f>INDEX('6pow. 50 r.ż.'!B3:G28,MATCH(1,B4:B29,0),4)</f>
        <v>4</v>
      </c>
      <c r="G4" s="42">
        <f>INDEX('6pow. 50 r.ż.'!B3:G28,MATCH(1,B4:B29,0),5)</f>
        <v>190</v>
      </c>
      <c r="H4" s="6">
        <f>INDEX('6pow. 50 r.ż.'!B3:G28,MATCH(1,B4:B29,0),6)</f>
        <v>5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247</v>
      </c>
      <c r="E5" s="42">
        <f>INDEX('6pow. 50 r.ż.'!B3:G28,MATCH(2,B4:B29,0),3)</f>
        <v>235</v>
      </c>
      <c r="F5" s="6">
        <f>INDEX('6pow. 50 r.ż.'!B3:G28,MATCH(2,B4:B29,0),4)</f>
        <v>12</v>
      </c>
      <c r="G5" s="42">
        <f>INDEX('6pow. 50 r.ż.'!B3:G28,MATCH(2,B4:B29,0),5)</f>
        <v>244</v>
      </c>
      <c r="H5" s="6">
        <f>INDEX('6pow. 50 r.ż.'!B3:G28,MATCH(2,B4:B29,0),6)</f>
        <v>3</v>
      </c>
    </row>
    <row r="6" spans="2:8" x14ac:dyDescent="0.2">
      <c r="B6" s="6">
        <f>RANK('6pow. 50 r.ż.'!C5,'6pow. 50 r.ż.'!$C$3:'6pow. 50 r.ż.'!$C$28,1)+COUNTIF('6pow. 50 r.ż.'!$C$3:'6pow. 50 r.ż.'!C5,'6pow. 50 r.ż.'!C5)-1</f>
        <v>8</v>
      </c>
      <c r="C6" s="5" t="str">
        <f>INDEX('6pow. 50 r.ż.'!B3:G28,MATCH(3,B4:B29,0),1)</f>
        <v>Tarnobrzeg</v>
      </c>
      <c r="D6" s="6">
        <f>INDEX('6pow. 50 r.ż.'!B3:G28,MATCH(3,B4:B29,0),2)</f>
        <v>293</v>
      </c>
      <c r="E6" s="42">
        <f>INDEX('6pow. 50 r.ż.'!B3:G28,MATCH(3,B4:B29,0),3)</f>
        <v>287</v>
      </c>
      <c r="F6" s="6">
        <f>INDEX('6pow. 50 r.ż.'!B3:G28,MATCH(3,B4:B29,0),4)</f>
        <v>6</v>
      </c>
      <c r="G6" s="42">
        <f>INDEX('6pow. 50 r.ż.'!B3:G28,MATCH(3,B4:B29,0),5)</f>
        <v>282</v>
      </c>
      <c r="H6" s="6">
        <f>INDEX('6pow. 50 r.ż.'!B3:G28,MATCH(3,B4:B29,0),6)</f>
        <v>11</v>
      </c>
    </row>
    <row r="7" spans="2:8" x14ac:dyDescent="0.2">
      <c r="B7" s="6">
        <f>RANK('6pow. 50 r.ż.'!C6,'6pow. 50 r.ż.'!$C$3:'6pow. 50 r.ż.'!$C$28,1)+COUNTIF('6pow. 50 r.ż.'!$C$3:'6pow. 50 r.ż.'!C6,'6pow. 50 r.ż.'!C6)-1</f>
        <v>22</v>
      </c>
      <c r="C7" s="5" t="str">
        <f>INDEX('6pow. 50 r.ż.'!B3:G28,MATCH(4,B4:B29,0),1)</f>
        <v xml:space="preserve">tarnobrzeski </v>
      </c>
      <c r="D7" s="6">
        <f>INDEX('6pow. 50 r.ż.'!B3:G28,MATCH(4,B4:B29,0),2)</f>
        <v>346</v>
      </c>
      <c r="E7" s="42">
        <f>INDEX('6pow. 50 r.ż.'!B3:G28,MATCH(4,B4:B29,0),3)</f>
        <v>338</v>
      </c>
      <c r="F7" s="6">
        <f>INDEX('6pow. 50 r.ż.'!B3:G28,MATCH(4,B4:B29,0),4)</f>
        <v>8</v>
      </c>
      <c r="G7" s="42">
        <f>INDEX('6pow. 50 r.ż.'!B3:G28,MATCH(4,B4:B29,0),5)</f>
        <v>361</v>
      </c>
      <c r="H7" s="6">
        <f>INDEX('6pow. 50 r.ż.'!B3:G28,MATCH(4,B4:B29,0),6)</f>
        <v>-15</v>
      </c>
    </row>
    <row r="8" spans="2:8" x14ac:dyDescent="0.2">
      <c r="B8" s="6">
        <f>RANK('6pow. 50 r.ż.'!C7,'6pow. 50 r.ż.'!$C$3:'6pow. 50 r.ż.'!$C$28,1)+COUNTIF('6pow. 50 r.ż.'!$C$3:'6pow. 50 r.ż.'!C7,'6pow. 50 r.ż.'!C7)-1</f>
        <v>24</v>
      </c>
      <c r="C8" s="5" t="str">
        <f>INDEX('6pow. 50 r.ż.'!B3:G28,MATCH(5,B4:B29,0),1)</f>
        <v>kolbuszowski</v>
      </c>
      <c r="D8" s="6">
        <f>INDEX('6pow. 50 r.ż.'!B3:G28,MATCH(5,B4:B29,0),2)</f>
        <v>416</v>
      </c>
      <c r="E8" s="42">
        <f>INDEX('6pow. 50 r.ż.'!B3:G28,MATCH(5,B4:B29,0),3)</f>
        <v>408</v>
      </c>
      <c r="F8" s="6">
        <f>INDEX('6pow. 50 r.ż.'!B3:G28,MATCH(5,B4:B29,0),4)</f>
        <v>8</v>
      </c>
      <c r="G8" s="42">
        <f>INDEX('6pow. 50 r.ż.'!B3:G28,MATCH(5,B4:B29,0),5)</f>
        <v>398</v>
      </c>
      <c r="H8" s="6">
        <f>INDEX('6pow. 50 r.ż.'!B3:G28,MATCH(5,B4:B29,0),6)</f>
        <v>18</v>
      </c>
    </row>
    <row r="9" spans="2:8" x14ac:dyDescent="0.2">
      <c r="B9" s="6">
        <f>RANK('6pow. 50 r.ż.'!C8,'6pow. 50 r.ż.'!$C$3:'6pow. 50 r.ż.'!$C$28,1)+COUNTIF('6pow. 50 r.ż.'!$C$3:'6pow. 50 r.ż.'!C8,'6pow. 50 r.ż.'!C8)-1</f>
        <v>5</v>
      </c>
      <c r="C9" s="5" t="str">
        <f>INDEX('6pow. 50 r.ż.'!B3:G28,MATCH(6,B4:B29,0),1)</f>
        <v>leski</v>
      </c>
      <c r="D9" s="6">
        <f>INDEX('6pow. 50 r.ż.'!B3:G28,MATCH(6,B4:B29,0),2)</f>
        <v>455</v>
      </c>
      <c r="E9" s="42">
        <f>INDEX('6pow. 50 r.ż.'!B3:G28,MATCH(6,B4:B29,0),3)</f>
        <v>437</v>
      </c>
      <c r="F9" s="6">
        <f>INDEX('6pow. 50 r.ż.'!B3:G28,MATCH(6,B4:B29,0),4)</f>
        <v>18</v>
      </c>
      <c r="G9" s="42">
        <f>INDEX('6pow. 50 r.ż.'!B3:G28,MATCH(6,B4:B29,0),5)</f>
        <v>431</v>
      </c>
      <c r="H9" s="6">
        <f>INDEX('6pow. 50 r.ż.'!B3:G28,MATCH(6,B4:B29,0),6)</f>
        <v>24</v>
      </c>
    </row>
    <row r="10" spans="2:8" x14ac:dyDescent="0.2">
      <c r="B10" s="6">
        <f>RANK('6pow. 50 r.ż.'!C9,'6pow. 50 r.ż.'!$C$3:'6pow. 50 r.ż.'!$C$28,1)+COUNTIF('6pow. 50 r.ż.'!$C$3:'6pow. 50 r.ż.'!C9,'6pow. 50 r.ż.'!C9)-1</f>
        <v>12</v>
      </c>
      <c r="C10" s="9" t="str">
        <f>INDEX('6pow. 50 r.ż.'!B3:G28,MATCH(7,B4:B29,0),1)</f>
        <v>lubaczowski</v>
      </c>
      <c r="D10" s="6">
        <f>INDEX('6pow. 50 r.ż.'!B3:G28,MATCH(7,B4:B29,0),2)</f>
        <v>470</v>
      </c>
      <c r="E10" s="42">
        <f>INDEX('6pow. 50 r.ż.'!B3:G28,MATCH(7,B4:B29,0),3)</f>
        <v>465</v>
      </c>
      <c r="F10" s="6">
        <f>INDEX('6pow. 50 r.ż.'!B3:G28,MATCH(7,B4:B29,0),4)</f>
        <v>5</v>
      </c>
      <c r="G10" s="42">
        <f>INDEX('6pow. 50 r.ż.'!B3:G28,MATCH(7,B4:B29,0),5)</f>
        <v>522</v>
      </c>
      <c r="H10" s="6">
        <f>INDEX('6pow. 50 r.ż.'!B3:G28,MATCH(7,B4:B29,0),6)</f>
        <v>-52</v>
      </c>
    </row>
    <row r="11" spans="2:8" x14ac:dyDescent="0.2">
      <c r="B11" s="6">
        <f>RANK('6pow. 50 r.ż.'!C10,'6pow. 50 r.ż.'!$C$3:'6pow. 50 r.ż.'!$C$28,1)+COUNTIF('6pow. 50 r.ż.'!$C$3:'6pow. 50 r.ż.'!C10,'6pow. 50 r.ż.'!C10)-1</f>
        <v>6</v>
      </c>
      <c r="C11" s="5" t="str">
        <f>INDEX('6pow. 50 r.ż.'!B3:G28,MATCH(8,B4:B29,0),1)</f>
        <v>dębicki</v>
      </c>
      <c r="D11" s="6">
        <f>INDEX('6pow. 50 r.ż.'!B3:G28,MATCH(8,B4:B29,0),2)</f>
        <v>528</v>
      </c>
      <c r="E11" s="42">
        <f>INDEX('6pow. 50 r.ż.'!B3:G28,MATCH(8,B4:B29,0),3)</f>
        <v>526</v>
      </c>
      <c r="F11" s="6">
        <f>INDEX('6pow. 50 r.ż.'!B3:G28,MATCH(8,B4:B29,0),4)</f>
        <v>2</v>
      </c>
      <c r="G11" s="42">
        <f>INDEX('6pow. 50 r.ż.'!B3:G28,MATCH(8,B4:B29,0),5)</f>
        <v>556</v>
      </c>
      <c r="H11" s="6">
        <f>INDEX('6pow. 50 r.ż.'!B3:G28,MATCH(8,B4:B29,0),6)</f>
        <v>-28</v>
      </c>
    </row>
    <row r="12" spans="2:8" x14ac:dyDescent="0.2">
      <c r="B12" s="6">
        <f>RANK('6pow. 50 r.ż.'!C11,'6pow. 50 r.ż.'!$C$3:'6pow. 50 r.ż.'!$C$28,1)+COUNTIF('6pow. 50 r.ż.'!$C$3:'6pow. 50 r.ż.'!C11,'6pow. 50 r.ż.'!C11)-1</f>
        <v>14</v>
      </c>
      <c r="C12" s="5" t="str">
        <f>INDEX('6pow. 50 r.ż.'!B3:G28,MATCH(9,B4:B29,0),1)</f>
        <v>stalowowolski</v>
      </c>
      <c r="D12" s="6">
        <f>INDEX('6pow. 50 r.ż.'!B3:G28,MATCH(9,B4:B29,0),2)</f>
        <v>565</v>
      </c>
      <c r="E12" s="42">
        <f>INDEX('6pow. 50 r.ż.'!B3:G28,MATCH(9,B4:B29,0),3)</f>
        <v>521</v>
      </c>
      <c r="F12" s="6">
        <f>INDEX('6pow. 50 r.ż.'!B3:G28,MATCH(9,B4:B29,0),4)</f>
        <v>44</v>
      </c>
      <c r="G12" s="42">
        <f>INDEX('6pow. 50 r.ż.'!B3:G28,MATCH(9,B4:B29,0),5)</f>
        <v>505</v>
      </c>
      <c r="H12" s="6">
        <f>INDEX('6pow. 50 r.ż.'!B3:G28,MATCH(9,B4:B29,0),6)</f>
        <v>60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ropczycko-sędziszowski</v>
      </c>
      <c r="D13" s="6">
        <f>INDEX('6pow. 50 r.ż.'!B3:G28,MATCH(10,B4:B29,0),2)</f>
        <v>576</v>
      </c>
      <c r="E13" s="42">
        <f>INDEX('6pow. 50 r.ż.'!B3:G28,MATCH(10,B4:B29,0),3)</f>
        <v>558</v>
      </c>
      <c r="F13" s="6">
        <f>INDEX('6pow. 50 r.ż.'!B3:G28,MATCH(10,B4:B29,0),4)</f>
        <v>18</v>
      </c>
      <c r="G13" s="42">
        <f>INDEX('6pow. 50 r.ż.'!B3:G28,MATCH(10,B4:B29,0),5)</f>
        <v>620</v>
      </c>
      <c r="H13" s="6">
        <f>INDEX('6pow. 50 r.ż.'!B3:G28,MATCH(10,B4:B29,0),6)</f>
        <v>-44</v>
      </c>
    </row>
    <row r="14" spans="2:8" x14ac:dyDescent="0.2">
      <c r="B14" s="6">
        <f>RANK('6pow. 50 r.ż.'!C13,'6pow. 50 r.ż.'!$C$3:'6pow. 50 r.ż.'!$C$28,1)+COUNTIF('6pow. 50 r.ż.'!$C$3:'6pow. 50 r.ż.'!C13,'6pow. 50 r.ż.'!C13)-1</f>
        <v>11</v>
      </c>
      <c r="C14" s="5" t="str">
        <f>INDEX('6pow. 50 r.ż.'!B3:G28,MATCH(11,B4:B29,0),1)</f>
        <v>łańcucki</v>
      </c>
      <c r="D14" s="6">
        <f>INDEX('6pow. 50 r.ż.'!B3:G28,MATCH(11,B4:B29,0),2)</f>
        <v>599</v>
      </c>
      <c r="E14" s="42">
        <f>INDEX('6pow. 50 r.ż.'!B3:G28,MATCH(11,B4:B29,0),3)</f>
        <v>567</v>
      </c>
      <c r="F14" s="6">
        <f>INDEX('6pow. 50 r.ż.'!B3:G28,MATCH(11,B4:B29,0),4)</f>
        <v>32</v>
      </c>
      <c r="G14" s="42">
        <f>INDEX('6pow. 50 r.ż.'!B3:G28,MATCH(11,B4:B29,0),5)</f>
        <v>596</v>
      </c>
      <c r="H14" s="6">
        <f>INDEX('6pow. 50 r.ż.'!B3:G28,MATCH(11,B4:B29,0),6)</f>
        <v>3</v>
      </c>
    </row>
    <row r="15" spans="2:8" x14ac:dyDescent="0.2">
      <c r="B15" s="6">
        <f>RANK('6pow. 50 r.ż.'!C14,'6pow. 50 r.ż.'!$C$3:'6pow. 50 r.ż.'!$C$28,1)+COUNTIF('6pow. 50 r.ż.'!$C$3:'6pow. 50 r.ż.'!C14,'6pow. 50 r.ż.'!C14)-1</f>
        <v>19</v>
      </c>
      <c r="C15" s="5" t="str">
        <f>INDEX('6pow. 50 r.ż.'!B3:G28,MATCH(12,B4:B29,0),1)</f>
        <v>krośnieński</v>
      </c>
      <c r="D15" s="6">
        <f>INDEX('6pow. 50 r.ż.'!B3:G28,MATCH(12,B4:B29,0),2)</f>
        <v>606</v>
      </c>
      <c r="E15" s="42">
        <f>INDEX('6pow. 50 r.ż.'!B3:G28,MATCH(12,B4:B29,0),3)</f>
        <v>590</v>
      </c>
      <c r="F15" s="6">
        <f>INDEX('6pow. 50 r.ż.'!B3:G28,MATCH(12,B4:B29,0),4)</f>
        <v>16</v>
      </c>
      <c r="G15" s="42">
        <f>INDEX('6pow. 50 r.ż.'!B3:G28,MATCH(12,B4:B29,0),5)</f>
        <v>581</v>
      </c>
      <c r="H15" s="6">
        <f>INDEX('6pow. 50 r.ż.'!B3:G28,MATCH(12,B4:B29,0),6)</f>
        <v>25</v>
      </c>
    </row>
    <row r="16" spans="2:8" x14ac:dyDescent="0.2">
      <c r="B16" s="6">
        <f>RANK('6pow. 50 r.ż.'!C15,'6pow. 50 r.ż.'!$C$3:'6pow. 50 r.ż.'!$C$28,1)+COUNTIF('6pow. 50 r.ż.'!$C$3:'6pow. 50 r.ż.'!C15,'6pow. 50 r.ż.'!C15)-1</f>
        <v>15</v>
      </c>
      <c r="C16" s="5" t="str">
        <f>INDEX('6pow. 50 r.ż.'!B3:G28,MATCH(13,B4:B29,0),1)</f>
        <v>sanocki</v>
      </c>
      <c r="D16" s="6">
        <f>INDEX('6pow. 50 r.ż.'!B3:G28,MATCH(13,B4:B29,0),2)</f>
        <v>673</v>
      </c>
      <c r="E16" s="42">
        <f>INDEX('6pow. 50 r.ż.'!B3:G28,MATCH(13,B4:B29,0),3)</f>
        <v>658</v>
      </c>
      <c r="F16" s="6">
        <f>INDEX('6pow. 50 r.ż.'!B3:G28,MATCH(13,B4:B29,0),4)</f>
        <v>15</v>
      </c>
      <c r="G16" s="42">
        <f>INDEX('6pow. 50 r.ż.'!B3:G28,MATCH(13,B4:B29,0),5)</f>
        <v>634</v>
      </c>
      <c r="H16" s="6">
        <f>INDEX('6pow. 50 r.ż.'!B3:G28,MATCH(13,B4:B29,0),6)</f>
        <v>39</v>
      </c>
    </row>
    <row r="17" spans="2:8" x14ac:dyDescent="0.2">
      <c r="B17" s="6">
        <f>RANK('6pow. 50 r.ż.'!C16,'6pow. 50 r.ż.'!$C$3:'6pow. 50 r.ż.'!$C$28,1)+COUNTIF('6pow. 50 r.ż.'!$C$3:'6pow. 50 r.ż.'!C16,'6pow. 50 r.ż.'!C16)-1</f>
        <v>17</v>
      </c>
      <c r="C17" s="5" t="str">
        <f>INDEX('6pow. 50 r.ż.'!B3:G28,MATCH(14,B4:B29,0),1)</f>
        <v>leżajski</v>
      </c>
      <c r="D17" s="6">
        <f>INDEX('6pow. 50 r.ż.'!B3:G28,MATCH(14,B4:B29,0),2)</f>
        <v>679</v>
      </c>
      <c r="E17" s="42">
        <f>INDEX('6pow. 50 r.ż.'!B3:G28,MATCH(14,B4:B29,0),3)</f>
        <v>659</v>
      </c>
      <c r="F17" s="6">
        <f>INDEX('6pow. 50 r.ż.'!B3:G28,MATCH(14,B4:B29,0),4)</f>
        <v>20</v>
      </c>
      <c r="G17" s="42">
        <f>INDEX('6pow. 50 r.ż.'!B3:G28,MATCH(14,B4:B29,0),5)</f>
        <v>739</v>
      </c>
      <c r="H17" s="6">
        <f>INDEX('6pow. 50 r.ż.'!B3:G28,MATCH(14,B4:B29,0),6)</f>
        <v>-60</v>
      </c>
    </row>
    <row r="18" spans="2:8" x14ac:dyDescent="0.2">
      <c r="B18" s="6">
        <f>RANK('6pow. 50 r.ż.'!C17,'6pow. 50 r.ż.'!$C$3:'6pow. 50 r.ż.'!$C$28,1)+COUNTIF('6pow. 50 r.ż.'!$C$3:'6pow. 50 r.ż.'!C17,'6pow. 50 r.ż.'!C17)-1</f>
        <v>18</v>
      </c>
      <c r="C18" s="5" t="str">
        <f>INDEX('6pow. 50 r.ż.'!B3:G28,MATCH(15,B4:B29,0),1)</f>
        <v>niżański</v>
      </c>
      <c r="D18" s="6">
        <f>INDEX('6pow. 50 r.ż.'!B3:G28,MATCH(15,B4:B29,0),2)</f>
        <v>695</v>
      </c>
      <c r="E18" s="42">
        <f>INDEX('6pow. 50 r.ż.'!B3:G28,MATCH(15,B4:B29,0),3)</f>
        <v>694</v>
      </c>
      <c r="F18" s="6">
        <f>INDEX('6pow. 50 r.ż.'!B3:G28,MATCH(15,B4:B29,0),4)</f>
        <v>1</v>
      </c>
      <c r="G18" s="42">
        <f>INDEX('6pow. 50 r.ż.'!B3:G28,MATCH(15,B4:B29,0),5)</f>
        <v>717</v>
      </c>
      <c r="H18" s="6">
        <f>INDEX('6pow. 50 r.ż.'!B3:G28,MATCH(15,B4:B29,0),6)</f>
        <v>-22</v>
      </c>
    </row>
    <row r="19" spans="2:8" x14ac:dyDescent="0.2">
      <c r="B19" s="6">
        <f>RANK('6pow. 50 r.ż.'!C18,'6pow. 50 r.ż.'!$C$3:'6pow. 50 r.ż.'!$C$28,1)+COUNTIF('6pow. 50 r.ż.'!$C$3:'6pow. 50 r.ż.'!C18,'6pow. 50 r.ż.'!C18)-1</f>
        <v>10</v>
      </c>
      <c r="C19" s="5" t="str">
        <f>INDEX('6pow. 50 r.ż.'!B3:G28,MATCH(16,B4:B29,0),1)</f>
        <v>Przemyśl</v>
      </c>
      <c r="D19" s="6">
        <f>INDEX('6pow. 50 r.ż.'!B3:G28,MATCH(16,B4:B29,0),2)</f>
        <v>722</v>
      </c>
      <c r="E19" s="42">
        <f>INDEX('6pow. 50 r.ż.'!B3:G28,MATCH(16,B4:B29,0),3)</f>
        <v>702</v>
      </c>
      <c r="F19" s="6">
        <f>INDEX('6pow. 50 r.ż.'!B3:G28,MATCH(16,B4:B29,0),4)</f>
        <v>20</v>
      </c>
      <c r="G19" s="42">
        <f>INDEX('6pow. 50 r.ż.'!B3:G28,MATCH(16,B4:B29,0),5)</f>
        <v>715</v>
      </c>
      <c r="H19" s="6">
        <f>INDEX('6pow. 50 r.ż.'!B3:G28,MATCH(16,B4:B29,0),6)</f>
        <v>7</v>
      </c>
    </row>
    <row r="20" spans="2:8" x14ac:dyDescent="0.2">
      <c r="B20" s="6">
        <f>RANK('6pow. 50 r.ż.'!C19,'6pow. 50 r.ż.'!$C$3:'6pow. 50 r.ż.'!$C$28,1)+COUNTIF('6pow. 50 r.ż.'!$C$3:'6pow. 50 r.ż.'!C19,'6pow. 50 r.ż.'!C19)-1</f>
        <v>23</v>
      </c>
      <c r="C20" s="5" t="str">
        <f>INDEX('6pow. 50 r.ż.'!B3:G28,MATCH(17,B4:B29,0),1)</f>
        <v>przemyski</v>
      </c>
      <c r="D20" s="6">
        <f>INDEX('6pow. 50 r.ż.'!B3:G28,MATCH(17,B4:B29,0),2)</f>
        <v>732</v>
      </c>
      <c r="E20" s="42">
        <f>INDEX('6pow. 50 r.ż.'!B3:G28,MATCH(17,B4:B29,0),3)</f>
        <v>678</v>
      </c>
      <c r="F20" s="6">
        <f>INDEX('6pow. 50 r.ż.'!B3:G28,MATCH(17,B4:B29,0),4)</f>
        <v>54</v>
      </c>
      <c r="G20" s="42">
        <f>INDEX('6pow. 50 r.ż.'!B3:G28,MATCH(17,B4:B29,0),5)</f>
        <v>730</v>
      </c>
      <c r="H20" s="6">
        <f>INDEX('6pow. 50 r.ż.'!B3:G28,MATCH(17,B4:B29,0),6)</f>
        <v>2</v>
      </c>
    </row>
    <row r="21" spans="2:8" x14ac:dyDescent="0.2">
      <c r="B21" s="6">
        <f>RANK('6pow. 50 r.ż.'!C20,'6pow. 50 r.ż.'!$C$3:'6pow. 50 r.ż.'!$C$28,1)+COUNTIF('6pow. 50 r.ż.'!$C$3:'6pow. 50 r.ż.'!C20,'6pow. 50 r.ż.'!C20)-1</f>
        <v>13</v>
      </c>
      <c r="C21" s="5" t="str">
        <f>INDEX('6pow. 50 r.ż.'!B3:G28,MATCH(18,B4:B29,0),1)</f>
        <v>przeworski</v>
      </c>
      <c r="D21" s="6">
        <f>INDEX('6pow. 50 r.ż.'!B3:G28,MATCH(18,B4:B29,0),2)</f>
        <v>736</v>
      </c>
      <c r="E21" s="42">
        <f>INDEX('6pow. 50 r.ż.'!B3:G28,MATCH(18,B4:B29,0),3)</f>
        <v>706</v>
      </c>
      <c r="F21" s="6">
        <f>INDEX('6pow. 50 r.ż.'!B3:G28,MATCH(18,B4:B29,0),4)</f>
        <v>30</v>
      </c>
      <c r="G21" s="42">
        <f>INDEX('6pow. 50 r.ż.'!B3:G28,MATCH(18,B4:B29,0),5)</f>
        <v>733</v>
      </c>
      <c r="H21" s="6">
        <f>INDEX('6pow. 50 r.ż.'!B3:G28,MATCH(18,B4:B29,0),6)</f>
        <v>3</v>
      </c>
    </row>
    <row r="22" spans="2:8" x14ac:dyDescent="0.2">
      <c r="B22" s="6">
        <f>RANK('6pow. 50 r.ż.'!C21,'6pow. 50 r.ż.'!$C$3:'6pow. 50 r.ż.'!$C$28,1)+COUNTIF('6pow. 50 r.ż.'!$C$3:'6pow. 50 r.ż.'!C21,'6pow. 50 r.ż.'!C21)-1</f>
        <v>9</v>
      </c>
      <c r="C22" s="5" t="str">
        <f>INDEX('6pow. 50 r.ż.'!B3:G28,MATCH(19,B4:B29,0),1)</f>
        <v>mielecki</v>
      </c>
      <c r="D22" s="6">
        <f>INDEX('6pow. 50 r.ż.'!B3:G28,MATCH(19,B4:B29,0),2)</f>
        <v>756</v>
      </c>
      <c r="E22" s="42">
        <f>INDEX('6pow. 50 r.ż.'!B3:G28,MATCH(19,B4:B29,0),3)</f>
        <v>743</v>
      </c>
      <c r="F22" s="6">
        <f>INDEX('6pow. 50 r.ż.'!B3:G28,MATCH(19,B4:B29,0),4)</f>
        <v>13</v>
      </c>
      <c r="G22" s="42">
        <f>INDEX('6pow. 50 r.ż.'!B3:G28,MATCH(19,B4:B29,0),5)</f>
        <v>765</v>
      </c>
      <c r="H22" s="6">
        <f>INDEX('6pow. 50 r.ż.'!B3:G28,MATCH(19,B4:B29,0),6)</f>
        <v>-9</v>
      </c>
    </row>
    <row r="23" spans="2:8" x14ac:dyDescent="0.2">
      <c r="B23" s="6">
        <f>RANK('6pow. 50 r.ż.'!C22,'6pow. 50 r.ż.'!$C$3:'6pow. 50 r.ż.'!$C$28,1)+COUNTIF('6pow. 50 r.ż.'!$C$3:'6pow. 50 r.ż.'!C22,'6pow. 50 r.ż.'!C22)-1</f>
        <v>20</v>
      </c>
      <c r="C23" s="5" t="str">
        <f>INDEX('6pow. 50 r.ż.'!B3:G28,MATCH(20,B4:B29,0),1)</f>
        <v>strzyżowski</v>
      </c>
      <c r="D23" s="6">
        <f>INDEX('6pow. 50 r.ż.'!B3:G28,MATCH(20,B4:B29,0),2)</f>
        <v>764</v>
      </c>
      <c r="E23" s="42">
        <f>INDEX('6pow. 50 r.ż.'!B3:G28,MATCH(20,B4:B29,0),3)</f>
        <v>709</v>
      </c>
      <c r="F23" s="6">
        <f>INDEX('6pow. 50 r.ż.'!B3:G28,MATCH(20,B4:B29,0),4)</f>
        <v>55</v>
      </c>
      <c r="G23" s="42">
        <f>INDEX('6pow. 50 r.ż.'!B3:G28,MATCH(20,B4:B29,0),5)</f>
        <v>750</v>
      </c>
      <c r="H23" s="6">
        <f>INDEX('6pow. 50 r.ż.'!B3:G28,MATCH(20,B4:B29,0),6)</f>
        <v>14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903</v>
      </c>
      <c r="E24" s="42">
        <f>INDEX('6pow. 50 r.ż.'!B3:G28,MATCH(21,B4:B29,0),3)</f>
        <v>884</v>
      </c>
      <c r="F24" s="6">
        <f>INDEX('6pow. 50 r.ż.'!B3:G28,MATCH(21,B4:B29,0),4)</f>
        <v>19</v>
      </c>
      <c r="G24" s="42">
        <f>INDEX('6pow. 50 r.ż.'!B3:G28,MATCH(21,B4:B29,0),5)</f>
        <v>938</v>
      </c>
      <c r="H24" s="6">
        <f>INDEX('6pow. 50 r.ż.'!B3:G28,MATCH(21,B4:B29,0),6)</f>
        <v>-35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jarosławski</v>
      </c>
      <c r="D25" s="6">
        <f>INDEX('6pow. 50 r.ż.'!B3:G28,MATCH(22,B4:B29,0),2)</f>
        <v>1102</v>
      </c>
      <c r="E25" s="42">
        <f>INDEX('6pow. 50 r.ż.'!B3:G28,MATCH(22,B4:B29,0),3)</f>
        <v>1060</v>
      </c>
      <c r="F25" s="6">
        <f>INDEX('6pow. 50 r.ż.'!B3:G28,MATCH(22,B4:B29,0),4)</f>
        <v>42</v>
      </c>
      <c r="G25" s="42">
        <f>INDEX('6pow. 50 r.ż.'!B3:G28,MATCH(22,B4:B29,0),5)</f>
        <v>1051</v>
      </c>
      <c r="H25" s="6">
        <f>INDEX('6pow. 50 r.ż.'!B3:G28,MATCH(22,B4:B29,0),6)</f>
        <v>51</v>
      </c>
    </row>
    <row r="26" spans="2:8" x14ac:dyDescent="0.2">
      <c r="B26" s="6">
        <f>RANK('6pow. 50 r.ż.'!C25,'6pow. 50 r.ż.'!$C$3:'6pow. 50 r.ż.'!$C$28,1)+COUNTIF('6pow. 50 r.ż.'!$C$3:'6pow. 50 r.ż.'!C25,'6pow. 50 r.ż.'!C25)-1</f>
        <v>16</v>
      </c>
      <c r="C26" s="5" t="str">
        <f>INDEX('6pow. 50 r.ż.'!B3:G28,MATCH(23,B4:B29,0),1)</f>
        <v>rzeszowski</v>
      </c>
      <c r="D26" s="6">
        <f>INDEX('6pow. 50 r.ż.'!B3:G28,MATCH(23,B4:B29,0),2)</f>
        <v>1111</v>
      </c>
      <c r="E26" s="42">
        <f>INDEX('6pow. 50 r.ż.'!B3:G28,MATCH(23,B4:B29,0),3)</f>
        <v>1085</v>
      </c>
      <c r="F26" s="6">
        <f>INDEX('6pow. 50 r.ż.'!B3:G28,MATCH(23,B4:B29,0),4)</f>
        <v>26</v>
      </c>
      <c r="G26" s="42">
        <f>INDEX('6pow. 50 r.ż.'!B3:G28,MATCH(23,B4:B29,0),5)</f>
        <v>1159</v>
      </c>
      <c r="H26" s="6">
        <f>INDEX('6pow. 50 r.ż.'!B3:G28,MATCH(23,B4:B29,0),6)</f>
        <v>-48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jasielski</v>
      </c>
      <c r="D27" s="6">
        <f>INDEX('6pow. 50 r.ż.'!B3:G28,MATCH(24,B4:B29,0),2)</f>
        <v>1157</v>
      </c>
      <c r="E27" s="42">
        <f>INDEX('6pow. 50 r.ż.'!B3:G28,MATCH(24,B4:B29,0),3)</f>
        <v>1119</v>
      </c>
      <c r="F27" s="6">
        <f>INDEX('6pow. 50 r.ż.'!B3:G28,MATCH(24,B4:B29,0),4)</f>
        <v>38</v>
      </c>
      <c r="G27" s="42">
        <f>INDEX('6pow. 50 r.ż.'!B3:G28,MATCH(24,B4:B29,0),5)</f>
        <v>1160</v>
      </c>
      <c r="H27" s="6">
        <f>INDEX('6pow. 50 r.ż.'!B3:G28,MATCH(24,B4:B29,0),6)</f>
        <v>-3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1308</v>
      </c>
      <c r="E28" s="42">
        <f>INDEX('6pow. 50 r.ż.'!B3:G28,MATCH(25,B4:B29,0),3)</f>
        <v>1308</v>
      </c>
      <c r="F28" s="6">
        <f>INDEX('6pow. 50 r.ż.'!B3:G28,MATCH(25,B4:B29,0),4)</f>
        <v>0</v>
      </c>
      <c r="G28" s="42">
        <f>INDEX('6pow. 50 r.ż.'!B3:G28,MATCH(25,B4:B29,0),5)</f>
        <v>1364</v>
      </c>
      <c r="H28" s="6">
        <f>INDEX('6pow. 50 r.ż.'!B3:G28,MATCH(25,B4:B29,0),6)</f>
        <v>-56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16634</v>
      </c>
      <c r="E29" s="44">
        <f>INDEX('6pow. 50 r.ż.'!B3:G28,MATCH(26,B4:B29,0),3)</f>
        <v>16128</v>
      </c>
      <c r="F29" s="40">
        <f>INDEX('6pow. 50 r.ż.'!B3:G28,MATCH(26,B4:B29,0),4)</f>
        <v>506</v>
      </c>
      <c r="G29" s="44">
        <f>INDEX('6pow. 50 r.ż.'!B3:G28,MATCH(26,B4:B29,0),5)</f>
        <v>16741</v>
      </c>
      <c r="H29" s="40">
        <f>INDEX('6pow. 50 r.ż.'!B3:G28,MATCH(26,B4:B29,0),6)</f>
        <v>-107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6.140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93</v>
      </c>
      <c r="D2" s="38" t="s">
        <v>75</v>
      </c>
      <c r="E2" s="37" t="s">
        <v>28</v>
      </c>
      <c r="F2" s="38" t="s">
        <v>94</v>
      </c>
      <c r="G2" s="37" t="s">
        <v>26</v>
      </c>
    </row>
    <row r="3" spans="2:8" x14ac:dyDescent="0.2">
      <c r="B3" s="5" t="s">
        <v>0</v>
      </c>
      <c r="C3" s="28">
        <v>2</v>
      </c>
      <c r="D3" s="42">
        <v>12</v>
      </c>
      <c r="E3" s="28">
        <f t="shared" ref="E3:E27" si="0">SUM(C3)-D3</f>
        <v>-10</v>
      </c>
      <c r="F3" s="42">
        <v>2</v>
      </c>
      <c r="G3" s="28">
        <f t="shared" ref="G3:G27" si="1">SUM(C3)-F3</f>
        <v>0</v>
      </c>
      <c r="H3" s="7"/>
    </row>
    <row r="4" spans="2:8" x14ac:dyDescent="0.2">
      <c r="B4" s="5" t="s">
        <v>1</v>
      </c>
      <c r="C4" s="28">
        <v>19</v>
      </c>
      <c r="D4" s="42">
        <v>29</v>
      </c>
      <c r="E4" s="28">
        <f t="shared" si="0"/>
        <v>-10</v>
      </c>
      <c r="F4" s="42">
        <v>16</v>
      </c>
      <c r="G4" s="28">
        <f t="shared" si="1"/>
        <v>3</v>
      </c>
      <c r="H4" s="7"/>
    </row>
    <row r="5" spans="2:8" x14ac:dyDescent="0.2">
      <c r="B5" s="5" t="s">
        <v>2</v>
      </c>
      <c r="C5" s="28">
        <v>231</v>
      </c>
      <c r="D5" s="42">
        <v>180</v>
      </c>
      <c r="E5" s="28">
        <f t="shared" si="0"/>
        <v>51</v>
      </c>
      <c r="F5" s="42">
        <v>174</v>
      </c>
      <c r="G5" s="28">
        <f t="shared" si="1"/>
        <v>57</v>
      </c>
      <c r="H5" s="7"/>
    </row>
    <row r="6" spans="2:8" x14ac:dyDescent="0.2">
      <c r="B6" s="5" t="s">
        <v>3</v>
      </c>
      <c r="C6" s="28">
        <v>64</v>
      </c>
      <c r="D6" s="42">
        <v>71</v>
      </c>
      <c r="E6" s="28">
        <f t="shared" si="0"/>
        <v>-7</v>
      </c>
      <c r="F6" s="42">
        <v>47</v>
      </c>
      <c r="G6" s="28">
        <f t="shared" si="1"/>
        <v>17</v>
      </c>
      <c r="H6" s="7"/>
    </row>
    <row r="7" spans="2:8" x14ac:dyDescent="0.2">
      <c r="B7" s="5" t="s">
        <v>4</v>
      </c>
      <c r="C7" s="28">
        <v>135</v>
      </c>
      <c r="D7" s="42">
        <v>161</v>
      </c>
      <c r="E7" s="28">
        <f t="shared" si="0"/>
        <v>-26</v>
      </c>
      <c r="F7" s="42">
        <v>83</v>
      </c>
      <c r="G7" s="28">
        <f t="shared" si="1"/>
        <v>52</v>
      </c>
      <c r="H7" s="7"/>
    </row>
    <row r="8" spans="2:8" x14ac:dyDescent="0.2">
      <c r="B8" s="5" t="s">
        <v>5</v>
      </c>
      <c r="C8" s="28">
        <v>46</v>
      </c>
      <c r="D8" s="42">
        <v>81</v>
      </c>
      <c r="E8" s="28">
        <f t="shared" si="0"/>
        <v>-35</v>
      </c>
      <c r="F8" s="42">
        <v>81</v>
      </c>
      <c r="G8" s="28">
        <f t="shared" si="1"/>
        <v>-35</v>
      </c>
      <c r="H8" s="7"/>
    </row>
    <row r="9" spans="2:8" x14ac:dyDescent="0.2">
      <c r="B9" s="9" t="s">
        <v>6</v>
      </c>
      <c r="C9" s="28">
        <v>27</v>
      </c>
      <c r="D9" s="42">
        <v>59</v>
      </c>
      <c r="E9" s="28">
        <f t="shared" si="0"/>
        <v>-32</v>
      </c>
      <c r="F9" s="42">
        <v>58</v>
      </c>
      <c r="G9" s="28">
        <f t="shared" si="1"/>
        <v>-31</v>
      </c>
      <c r="H9" s="7"/>
    </row>
    <row r="10" spans="2:8" x14ac:dyDescent="0.2">
      <c r="B10" s="5" t="s">
        <v>7</v>
      </c>
      <c r="C10" s="28">
        <v>18</v>
      </c>
      <c r="D10" s="42">
        <v>8</v>
      </c>
      <c r="E10" s="28">
        <f t="shared" si="0"/>
        <v>10</v>
      </c>
      <c r="F10" s="42">
        <v>6</v>
      </c>
      <c r="G10" s="28">
        <f t="shared" si="1"/>
        <v>12</v>
      </c>
      <c r="H10" s="7"/>
    </row>
    <row r="11" spans="2:8" x14ac:dyDescent="0.2">
      <c r="B11" s="5" t="s">
        <v>8</v>
      </c>
      <c r="C11" s="28">
        <v>92</v>
      </c>
      <c r="D11" s="42">
        <v>21</v>
      </c>
      <c r="E11" s="28">
        <f t="shared" si="0"/>
        <v>71</v>
      </c>
      <c r="F11" s="42">
        <v>42</v>
      </c>
      <c r="G11" s="28">
        <f t="shared" si="1"/>
        <v>50</v>
      </c>
      <c r="H11" s="7"/>
    </row>
    <row r="12" spans="2:8" x14ac:dyDescent="0.2">
      <c r="B12" s="5" t="s">
        <v>9</v>
      </c>
      <c r="C12" s="28">
        <v>15</v>
      </c>
      <c r="D12" s="42">
        <v>11</v>
      </c>
      <c r="E12" s="28">
        <f t="shared" si="0"/>
        <v>4</v>
      </c>
      <c r="F12" s="42">
        <v>14</v>
      </c>
      <c r="G12" s="28">
        <f t="shared" si="1"/>
        <v>1</v>
      </c>
      <c r="H12" s="7"/>
    </row>
    <row r="13" spans="2:8" x14ac:dyDescent="0.2">
      <c r="B13" s="5" t="s">
        <v>10</v>
      </c>
      <c r="C13" s="28">
        <v>33</v>
      </c>
      <c r="D13" s="42">
        <v>36</v>
      </c>
      <c r="E13" s="28">
        <f t="shared" si="0"/>
        <v>-3</v>
      </c>
      <c r="F13" s="42">
        <v>33</v>
      </c>
      <c r="G13" s="28">
        <f t="shared" si="1"/>
        <v>0</v>
      </c>
      <c r="H13" s="7"/>
    </row>
    <row r="14" spans="2:8" x14ac:dyDescent="0.2">
      <c r="B14" s="5" t="s">
        <v>11</v>
      </c>
      <c r="C14" s="28">
        <v>124</v>
      </c>
      <c r="D14" s="42">
        <v>113</v>
      </c>
      <c r="E14" s="28">
        <f t="shared" si="0"/>
        <v>11</v>
      </c>
      <c r="F14" s="42">
        <v>139</v>
      </c>
      <c r="G14" s="28">
        <f t="shared" si="1"/>
        <v>-15</v>
      </c>
      <c r="H14" s="7"/>
    </row>
    <row r="15" spans="2:8" x14ac:dyDescent="0.2">
      <c r="B15" s="5" t="s">
        <v>12</v>
      </c>
      <c r="C15" s="28">
        <v>15</v>
      </c>
      <c r="D15" s="42">
        <v>41</v>
      </c>
      <c r="E15" s="28">
        <f t="shared" si="0"/>
        <v>-26</v>
      </c>
      <c r="F15" s="42">
        <v>20</v>
      </c>
      <c r="G15" s="28">
        <f t="shared" si="1"/>
        <v>-5</v>
      </c>
      <c r="H15" s="7"/>
    </row>
    <row r="16" spans="2:8" x14ac:dyDescent="0.2">
      <c r="B16" s="5" t="s">
        <v>13</v>
      </c>
      <c r="C16" s="28">
        <v>11</v>
      </c>
      <c r="D16" s="42">
        <v>7</v>
      </c>
      <c r="E16" s="28">
        <f t="shared" si="0"/>
        <v>4</v>
      </c>
      <c r="F16" s="42">
        <v>7</v>
      </c>
      <c r="G16" s="28">
        <f t="shared" si="1"/>
        <v>4</v>
      </c>
      <c r="H16" s="7"/>
    </row>
    <row r="17" spans="2:8" x14ac:dyDescent="0.2">
      <c r="B17" s="5" t="s">
        <v>14</v>
      </c>
      <c r="C17" s="28">
        <v>162</v>
      </c>
      <c r="D17" s="42">
        <v>191</v>
      </c>
      <c r="E17" s="28">
        <f t="shared" si="0"/>
        <v>-29</v>
      </c>
      <c r="F17" s="42">
        <v>103</v>
      </c>
      <c r="G17" s="28">
        <f t="shared" si="1"/>
        <v>59</v>
      </c>
      <c r="H17" s="7"/>
    </row>
    <row r="18" spans="2:8" x14ac:dyDescent="0.2">
      <c r="B18" s="5" t="s">
        <v>15</v>
      </c>
      <c r="C18" s="28">
        <v>28</v>
      </c>
      <c r="D18" s="42">
        <v>70</v>
      </c>
      <c r="E18" s="28">
        <f t="shared" si="0"/>
        <v>-42</v>
      </c>
      <c r="F18" s="42">
        <v>28</v>
      </c>
      <c r="G18" s="28">
        <f t="shared" si="1"/>
        <v>0</v>
      </c>
      <c r="H18" s="7"/>
    </row>
    <row r="19" spans="2:8" x14ac:dyDescent="0.2">
      <c r="B19" s="5" t="s">
        <v>16</v>
      </c>
      <c r="C19" s="28">
        <v>63</v>
      </c>
      <c r="D19" s="42">
        <v>83</v>
      </c>
      <c r="E19" s="28">
        <f t="shared" si="0"/>
        <v>-20</v>
      </c>
      <c r="F19" s="42">
        <v>79</v>
      </c>
      <c r="G19" s="28">
        <f t="shared" si="1"/>
        <v>-16</v>
      </c>
      <c r="H19" s="7"/>
    </row>
    <row r="20" spans="2:8" x14ac:dyDescent="0.2">
      <c r="B20" s="5" t="s">
        <v>17</v>
      </c>
      <c r="C20" s="28">
        <v>69</v>
      </c>
      <c r="D20" s="42">
        <v>81</v>
      </c>
      <c r="E20" s="28">
        <f t="shared" si="0"/>
        <v>-12</v>
      </c>
      <c r="F20" s="42">
        <v>115</v>
      </c>
      <c r="G20" s="28">
        <f t="shared" si="1"/>
        <v>-46</v>
      </c>
      <c r="H20" s="7"/>
    </row>
    <row r="21" spans="2:8" x14ac:dyDescent="0.2">
      <c r="B21" s="5" t="s">
        <v>18</v>
      </c>
      <c r="C21" s="28">
        <v>37</v>
      </c>
      <c r="D21" s="42">
        <v>76</v>
      </c>
      <c r="E21" s="28">
        <f t="shared" si="0"/>
        <v>-39</v>
      </c>
      <c r="F21" s="42">
        <v>40</v>
      </c>
      <c r="G21" s="28">
        <f t="shared" si="1"/>
        <v>-3</v>
      </c>
      <c r="H21" s="7"/>
    </row>
    <row r="22" spans="2:8" x14ac:dyDescent="0.2">
      <c r="B22" s="5" t="s">
        <v>19</v>
      </c>
      <c r="C22" s="28">
        <v>34</v>
      </c>
      <c r="D22" s="42">
        <v>31</v>
      </c>
      <c r="E22" s="28">
        <f t="shared" si="0"/>
        <v>3</v>
      </c>
      <c r="F22" s="42">
        <v>55</v>
      </c>
      <c r="G22" s="28">
        <f t="shared" si="1"/>
        <v>-21</v>
      </c>
      <c r="H22" s="7"/>
    </row>
    <row r="23" spans="2:8" x14ac:dyDescent="0.2">
      <c r="B23" s="5" t="s">
        <v>20</v>
      </c>
      <c r="C23" s="28">
        <v>54</v>
      </c>
      <c r="D23" s="42">
        <v>6</v>
      </c>
      <c r="E23" s="28">
        <f t="shared" si="0"/>
        <v>48</v>
      </c>
      <c r="F23" s="42">
        <v>57</v>
      </c>
      <c r="G23" s="28">
        <f t="shared" si="1"/>
        <v>-3</v>
      </c>
      <c r="H23" s="7"/>
    </row>
    <row r="24" spans="2:8" x14ac:dyDescent="0.2">
      <c r="B24" s="5" t="s">
        <v>21</v>
      </c>
      <c r="C24" s="28">
        <v>31</v>
      </c>
      <c r="D24" s="42">
        <v>75</v>
      </c>
      <c r="E24" s="28">
        <f t="shared" si="0"/>
        <v>-44</v>
      </c>
      <c r="F24" s="42">
        <v>29</v>
      </c>
      <c r="G24" s="28">
        <f t="shared" si="1"/>
        <v>2</v>
      </c>
      <c r="H24" s="7"/>
    </row>
    <row r="25" spans="2:8" x14ac:dyDescent="0.2">
      <c r="B25" s="5" t="s">
        <v>22</v>
      </c>
      <c r="C25" s="28">
        <v>18</v>
      </c>
      <c r="D25" s="42">
        <v>35</v>
      </c>
      <c r="E25" s="28">
        <f t="shared" si="0"/>
        <v>-17</v>
      </c>
      <c r="F25" s="42">
        <v>35</v>
      </c>
      <c r="G25" s="28">
        <f t="shared" si="1"/>
        <v>-17</v>
      </c>
      <c r="H25" s="7"/>
    </row>
    <row r="26" spans="2:8" x14ac:dyDescent="0.2">
      <c r="B26" s="5" t="s">
        <v>23</v>
      </c>
      <c r="C26" s="28">
        <v>378</v>
      </c>
      <c r="D26" s="42">
        <v>329</v>
      </c>
      <c r="E26" s="28">
        <f t="shared" si="0"/>
        <v>49</v>
      </c>
      <c r="F26" s="42">
        <v>593</v>
      </c>
      <c r="G26" s="28">
        <f t="shared" si="1"/>
        <v>-215</v>
      </c>
      <c r="H26" s="7"/>
    </row>
    <row r="27" spans="2:8" x14ac:dyDescent="0.2">
      <c r="B27" s="5" t="s">
        <v>24</v>
      </c>
      <c r="C27" s="28">
        <v>32</v>
      </c>
      <c r="D27" s="42">
        <v>25</v>
      </c>
      <c r="E27" s="28">
        <f t="shared" si="0"/>
        <v>7</v>
      </c>
      <c r="F27" s="42">
        <v>39</v>
      </c>
      <c r="G27" s="28">
        <f t="shared" si="1"/>
        <v>-7</v>
      </c>
      <c r="H27" s="7"/>
    </row>
    <row r="28" spans="2:8" ht="17.25" customHeight="1" x14ac:dyDescent="0.25">
      <c r="B28" s="39" t="s">
        <v>25</v>
      </c>
      <c r="C28" s="48">
        <f>SUM(C3:C27)</f>
        <v>1738</v>
      </c>
      <c r="D28" s="44">
        <f>SUM(D3:D27)</f>
        <v>1832</v>
      </c>
      <c r="E28" s="48">
        <f>SUM(E3:E27)</f>
        <v>-94</v>
      </c>
      <c r="F28" s="44">
        <f>SUM(F3:F27)</f>
        <v>1895</v>
      </c>
      <c r="G28" s="48">
        <f>SUM(G3:G27)</f>
        <v>-157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12-'24 r.</v>
      </c>
      <c r="E3" s="36" t="str">
        <f>T('7oferty p.'!D2)</f>
        <v>liczba ofert w 11-'24 r.</v>
      </c>
      <c r="F3" s="36" t="str">
        <f>T('7oferty p.'!E2)</f>
        <v>wzrost/spadek do poprzedniego  miesiąca</v>
      </c>
      <c r="G3" s="36" t="str">
        <f>T('7oferty p.'!F2)</f>
        <v>liczba ofert w 12-'23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1</v>
      </c>
      <c r="C4" s="5" t="str">
        <f>INDEX('7oferty p.'!B3:G28,MATCH(1,B4:B29,0),1)</f>
        <v>bieszczadzki</v>
      </c>
      <c r="D4" s="24">
        <f>INDEX('7oferty p.'!B3:G28,MATCH(1,B4:B29,0),2)</f>
        <v>2</v>
      </c>
      <c r="E4" s="42">
        <f>INDEX('7oferty p.'!B3:G28,MATCH(1,B4:B29,0),3)</f>
        <v>12</v>
      </c>
      <c r="F4" s="6">
        <f>INDEX('7oferty p.'!B3:G28,MATCH(1,B4:B29,0),4)</f>
        <v>-10</v>
      </c>
      <c r="G4" s="42">
        <f>INDEX('7oferty p.'!B3:G28,MATCH(1,B4:B29,0),5)</f>
        <v>2</v>
      </c>
      <c r="H4" s="6">
        <f>INDEX('7oferty p.'!B3:G28,MATCH(1,B4:B29,0),6)</f>
        <v>0</v>
      </c>
    </row>
    <row r="5" spans="2:8" x14ac:dyDescent="0.2">
      <c r="B5" s="6">
        <f>RANK('7oferty p.'!C4,'7oferty p.'!$C$3:'7oferty p.'!$C$28,1)+COUNTIF('7oferty p.'!$C$3:'7oferty p.'!C4,'7oferty p.'!C4)-1</f>
        <v>7</v>
      </c>
      <c r="C5" s="5" t="str">
        <f>INDEX('7oferty p.'!B3:G28,MATCH(2,B4:B29,0),1)</f>
        <v>przemyski</v>
      </c>
      <c r="D5" s="6">
        <f>INDEX('7oferty p.'!B3:G28,MATCH(2,B4:B29,0),2)</f>
        <v>11</v>
      </c>
      <c r="E5" s="42">
        <f>INDEX('7oferty p.'!B3:G28,MATCH(2,B4:B29,0),3)</f>
        <v>7</v>
      </c>
      <c r="F5" s="6">
        <f>INDEX('7oferty p.'!B3:G28,MATCH(2,B4:B29,0),4)</f>
        <v>4</v>
      </c>
      <c r="G5" s="42">
        <f>INDEX('7oferty p.'!B3:G28,MATCH(2,B4:B29,0),5)</f>
        <v>7</v>
      </c>
      <c r="H5" s="6">
        <f>INDEX('7oferty p.'!B3:G28,MATCH(2,B4:B29,0),6)</f>
        <v>4</v>
      </c>
    </row>
    <row r="6" spans="2:8" x14ac:dyDescent="0.2">
      <c r="B6" s="6">
        <f>RANK('7oferty p.'!C5,'7oferty p.'!$C$3:'7oferty p.'!$C$28,1)+COUNTIF('7oferty p.'!$C$3:'7oferty p.'!C5,'7oferty p.'!C5)-1</f>
        <v>24</v>
      </c>
      <c r="C6" s="5" t="str">
        <f>INDEX('7oferty p.'!B3:G28,MATCH(3,B4:B29,0),1)</f>
        <v>lubaczowski</v>
      </c>
      <c r="D6" s="6">
        <f>INDEX('7oferty p.'!B3:G28,MATCH(3,B4:B29,0),2)</f>
        <v>15</v>
      </c>
      <c r="E6" s="42">
        <f>INDEX('7oferty p.'!B3:G28,MATCH(3,B4:B29,0),3)</f>
        <v>11</v>
      </c>
      <c r="F6" s="6">
        <f>INDEX('7oferty p.'!B3:G28,MATCH(3,B4:B29,0),4)</f>
        <v>4</v>
      </c>
      <c r="G6" s="42">
        <f>INDEX('7oferty p.'!B3:G28,MATCH(3,B4:B29,0),5)</f>
        <v>14</v>
      </c>
      <c r="H6" s="6">
        <f>INDEX('7oferty p.'!B3:G28,MATCH(3,B4:B29,0),6)</f>
        <v>1</v>
      </c>
    </row>
    <row r="7" spans="2:8" x14ac:dyDescent="0.2">
      <c r="B7" s="6">
        <f>RANK('7oferty p.'!C6,'7oferty p.'!$C$3:'7oferty p.'!$C$28,1)+COUNTIF('7oferty p.'!$C$3:'7oferty p.'!C6,'7oferty p.'!C6)-1</f>
        <v>18</v>
      </c>
      <c r="C7" s="5" t="str">
        <f>INDEX('7oferty p.'!B3:G28,MATCH(4,B4:B29,0),1)</f>
        <v>niżański</v>
      </c>
      <c r="D7" s="6">
        <f>INDEX('7oferty p.'!B3:G28,MATCH(4,B4:B29,0),2)</f>
        <v>15</v>
      </c>
      <c r="E7" s="42">
        <f>INDEX('7oferty p.'!B3:G28,MATCH(4,B4:B29,0),3)</f>
        <v>41</v>
      </c>
      <c r="F7" s="6">
        <f>INDEX('7oferty p.'!B3:G28,MATCH(4,B4:B29,0),4)</f>
        <v>-26</v>
      </c>
      <c r="G7" s="42">
        <f>INDEX('7oferty p.'!B3:G28,MATCH(4,B4:B29,0),5)</f>
        <v>20</v>
      </c>
      <c r="H7" s="6">
        <f>INDEX('7oferty p.'!B3:G28,MATCH(4,B4:B29,0),6)</f>
        <v>-5</v>
      </c>
    </row>
    <row r="8" spans="2:8" x14ac:dyDescent="0.2">
      <c r="B8" s="6">
        <f>RANK('7oferty p.'!C7,'7oferty p.'!$C$3:'7oferty p.'!$C$28,1)+COUNTIF('7oferty p.'!$C$3:'7oferty p.'!C7,'7oferty p.'!C7)-1</f>
        <v>22</v>
      </c>
      <c r="C8" s="5" t="str">
        <f>INDEX('7oferty p.'!B3:G28,MATCH(5,B4:B29,0),1)</f>
        <v>leski</v>
      </c>
      <c r="D8" s="6">
        <f>INDEX('7oferty p.'!B3:G28,MATCH(5,B4:B29,0),2)</f>
        <v>18</v>
      </c>
      <c r="E8" s="42">
        <f>INDEX('7oferty p.'!B3:G28,MATCH(5,B4:B29,0),3)</f>
        <v>8</v>
      </c>
      <c r="F8" s="6">
        <f>INDEX('7oferty p.'!B3:G28,MATCH(5,B4:B29,0),4)</f>
        <v>10</v>
      </c>
      <c r="G8" s="42">
        <f>INDEX('7oferty p.'!B3:G28,MATCH(5,B4:B29,0),5)</f>
        <v>6</v>
      </c>
      <c r="H8" s="6">
        <f>INDEX('7oferty p.'!B3:G28,MATCH(5,B4:B29,0),6)</f>
        <v>12</v>
      </c>
    </row>
    <row r="9" spans="2:8" x14ac:dyDescent="0.2">
      <c r="B9" s="6">
        <f>RANK('7oferty p.'!C8,'7oferty p.'!$C$3:'7oferty p.'!$C$28,1)+COUNTIF('7oferty p.'!$C$3:'7oferty p.'!C8,'7oferty p.'!C8)-1</f>
        <v>15</v>
      </c>
      <c r="C9" s="5" t="str">
        <f>INDEX('7oferty p.'!B3:G28,MATCH(6,B4:B29,0),1)</f>
        <v>Przemyśl</v>
      </c>
      <c r="D9" s="6">
        <f>INDEX('7oferty p.'!B3:G28,MATCH(6,B4:B29,0),2)</f>
        <v>18</v>
      </c>
      <c r="E9" s="42">
        <f>INDEX('7oferty p.'!B3:G28,MATCH(6,B4:B29,0),3)</f>
        <v>35</v>
      </c>
      <c r="F9" s="6">
        <f>INDEX('7oferty p.'!B3:G28,MATCH(6,B4:B29,0),4)</f>
        <v>-17</v>
      </c>
      <c r="G9" s="42">
        <f>INDEX('7oferty p.'!B3:G28,MATCH(6,B4:B29,0),5)</f>
        <v>35</v>
      </c>
      <c r="H9" s="6">
        <f>INDEX('7oferty p.'!B3:G28,MATCH(6,B4:B29,0),6)</f>
        <v>-17</v>
      </c>
    </row>
    <row r="10" spans="2:8" x14ac:dyDescent="0.2">
      <c r="B10" s="6">
        <f>RANK('7oferty p.'!C9,'7oferty p.'!$C$3:'7oferty p.'!$C$28,1)+COUNTIF('7oferty p.'!$C$3:'7oferty p.'!C9,'7oferty p.'!C9)-1</f>
        <v>8</v>
      </c>
      <c r="C10" s="9" t="str">
        <f>INDEX('7oferty p.'!B3:G28,MATCH(7,B4:B29,0),1)</f>
        <v>brzozowski</v>
      </c>
      <c r="D10" s="6">
        <f>INDEX('7oferty p.'!B3:G28,MATCH(7,B4:B29,0),2)</f>
        <v>19</v>
      </c>
      <c r="E10" s="42">
        <f>INDEX('7oferty p.'!B3:G28,MATCH(7,B4:B29,0),3)</f>
        <v>29</v>
      </c>
      <c r="F10" s="6">
        <f>INDEX('7oferty p.'!B3:G28,MATCH(7,B4:B29,0),4)</f>
        <v>-10</v>
      </c>
      <c r="G10" s="42">
        <f>INDEX('7oferty p.'!B3:G28,MATCH(7,B4:B29,0),5)</f>
        <v>16</v>
      </c>
      <c r="H10" s="6">
        <f>INDEX('7oferty p.'!B3:G28,MATCH(7,B4:B29,0),6)</f>
        <v>3</v>
      </c>
    </row>
    <row r="11" spans="2:8" x14ac:dyDescent="0.2">
      <c r="B11" s="6">
        <f>RANK('7oferty p.'!C10,'7oferty p.'!$C$3:'7oferty p.'!$C$28,1)+COUNTIF('7oferty p.'!$C$3:'7oferty p.'!C10,'7oferty p.'!C10)-1</f>
        <v>5</v>
      </c>
      <c r="C11" s="5" t="str">
        <f>INDEX('7oferty p.'!B3:G28,MATCH(8,B4:B29,0),1)</f>
        <v>krośnieński</v>
      </c>
      <c r="D11" s="6">
        <f>INDEX('7oferty p.'!B3:G28,MATCH(8,B4:B29,0),2)</f>
        <v>27</v>
      </c>
      <c r="E11" s="42">
        <f>INDEX('7oferty p.'!B3:G28,MATCH(8,B4:B29,0),3)</f>
        <v>59</v>
      </c>
      <c r="F11" s="6">
        <f>INDEX('7oferty p.'!B3:G28,MATCH(8,B4:B29,0),4)</f>
        <v>-32</v>
      </c>
      <c r="G11" s="42">
        <f>INDEX('7oferty p.'!B3:G28,MATCH(8,B4:B29,0),5)</f>
        <v>58</v>
      </c>
      <c r="H11" s="6">
        <f>INDEX('7oferty p.'!B3:G28,MATCH(8,B4:B29,0),6)</f>
        <v>-31</v>
      </c>
    </row>
    <row r="12" spans="2:8" x14ac:dyDescent="0.2">
      <c r="B12" s="6">
        <f>RANK('7oferty p.'!C11,'7oferty p.'!$C$3:'7oferty p.'!$C$28,1)+COUNTIF('7oferty p.'!$C$3:'7oferty p.'!C11,'7oferty p.'!C11)-1</f>
        <v>20</v>
      </c>
      <c r="C12" s="5" t="str">
        <f>INDEX('7oferty p.'!B3:G28,MATCH(9,B4:B29,0),1)</f>
        <v>ropczycko-sędziszowski</v>
      </c>
      <c r="D12" s="6">
        <f>INDEX('7oferty p.'!B3:G28,MATCH(9,B4:B29,0),2)</f>
        <v>28</v>
      </c>
      <c r="E12" s="42">
        <f>INDEX('7oferty p.'!B3:G28,MATCH(9,B4:B29,0),3)</f>
        <v>70</v>
      </c>
      <c r="F12" s="6">
        <f>INDEX('7oferty p.'!B3:G28,MATCH(9,B4:B29,0),4)</f>
        <v>-42</v>
      </c>
      <c r="G12" s="42">
        <f>INDEX('7oferty p.'!B3:G28,MATCH(9,B4:B29,0),5)</f>
        <v>28</v>
      </c>
      <c r="H12" s="6">
        <f>INDEX('7oferty p.'!B3:G28,MATCH(9,B4:B29,0),6)</f>
        <v>0</v>
      </c>
    </row>
    <row r="13" spans="2:8" x14ac:dyDescent="0.2">
      <c r="B13" s="6">
        <f>RANK('7oferty p.'!C12,'7oferty p.'!$C$3:'7oferty p.'!$C$28,1)+COUNTIF('7oferty p.'!$C$3:'7oferty p.'!C12,'7oferty p.'!C12)-1</f>
        <v>3</v>
      </c>
      <c r="C13" s="5" t="str">
        <f>INDEX('7oferty p.'!B3:G28,MATCH(10,B4:B29,0),1)</f>
        <v>Krosno</v>
      </c>
      <c r="D13" s="6">
        <f>INDEX('7oferty p.'!B3:G28,MATCH(10,B4:B29,0),2)</f>
        <v>31</v>
      </c>
      <c r="E13" s="42">
        <f>INDEX('7oferty p.'!B3:G28,MATCH(10,B4:B29,0),3)</f>
        <v>75</v>
      </c>
      <c r="F13" s="6">
        <f>INDEX('7oferty p.'!B3:G28,MATCH(10,B4:B29,0),4)</f>
        <v>-44</v>
      </c>
      <c r="G13" s="42">
        <f>INDEX('7oferty p.'!B3:G28,MATCH(10,B4:B29,0),5)</f>
        <v>29</v>
      </c>
      <c r="H13" s="6">
        <f>INDEX('7oferty p.'!B3:G28,MATCH(10,B4:B29,0),6)</f>
        <v>2</v>
      </c>
    </row>
    <row r="14" spans="2:8" x14ac:dyDescent="0.2">
      <c r="B14" s="6">
        <f>RANK('7oferty p.'!C13,'7oferty p.'!$C$3:'7oferty p.'!$C$28,1)+COUNTIF('7oferty p.'!$C$3:'7oferty p.'!C13,'7oferty p.'!C13)-1</f>
        <v>12</v>
      </c>
      <c r="C14" s="5" t="str">
        <f>INDEX('7oferty p.'!B3:G28,MATCH(11,B4:B29,0),1)</f>
        <v>Tarnobrzeg</v>
      </c>
      <c r="D14" s="6">
        <f>INDEX('7oferty p.'!B3:G28,MATCH(11,B4:B29,0),2)</f>
        <v>32</v>
      </c>
      <c r="E14" s="42">
        <f>INDEX('7oferty p.'!B3:G28,MATCH(11,B4:B29,0),3)</f>
        <v>25</v>
      </c>
      <c r="F14" s="6">
        <f>INDEX('7oferty p.'!B3:G28,MATCH(11,B4:B29,0),4)</f>
        <v>7</v>
      </c>
      <c r="G14" s="42">
        <f>INDEX('7oferty p.'!B3:G28,MATCH(11,B4:B29,0),5)</f>
        <v>39</v>
      </c>
      <c r="H14" s="6">
        <f>INDEX('7oferty p.'!B3:G28,MATCH(11,B4:B29,0),6)</f>
        <v>-7</v>
      </c>
    </row>
    <row r="15" spans="2:8" x14ac:dyDescent="0.2">
      <c r="B15" s="6">
        <f>RANK('7oferty p.'!C14,'7oferty p.'!$C$3:'7oferty p.'!$C$28,1)+COUNTIF('7oferty p.'!$C$3:'7oferty p.'!C14,'7oferty p.'!C14)-1</f>
        <v>21</v>
      </c>
      <c r="C15" s="5" t="str">
        <f>INDEX('7oferty p.'!B3:G28,MATCH(12,B4:B29,0),1)</f>
        <v>łańcucki</v>
      </c>
      <c r="D15" s="6">
        <f>INDEX('7oferty p.'!B3:G28,MATCH(12,B4:B29,0),2)</f>
        <v>33</v>
      </c>
      <c r="E15" s="42">
        <f>INDEX('7oferty p.'!B3:G28,MATCH(12,B4:B29,0),3)</f>
        <v>36</v>
      </c>
      <c r="F15" s="6">
        <f>INDEX('7oferty p.'!B3:G28,MATCH(12,B4:B29,0),4)</f>
        <v>-3</v>
      </c>
      <c r="G15" s="42">
        <f>INDEX('7oferty p.'!B3:G28,MATCH(12,B4:B29,0),5)</f>
        <v>33</v>
      </c>
      <c r="H15" s="6">
        <f>INDEX('7oferty p.'!B3:G28,MATCH(12,B4:B29,0),6)</f>
        <v>0</v>
      </c>
    </row>
    <row r="16" spans="2:8" x14ac:dyDescent="0.2">
      <c r="B16" s="6">
        <f>RANK('7oferty p.'!C15,'7oferty p.'!$C$3:'7oferty p.'!$C$28,1)+COUNTIF('7oferty p.'!$C$3:'7oferty p.'!C15,'7oferty p.'!C15)-1</f>
        <v>4</v>
      </c>
      <c r="C16" s="5" t="str">
        <f>INDEX('7oferty p.'!B3:G28,MATCH(13,B4:B29,0),1)</f>
        <v>strzyżowski</v>
      </c>
      <c r="D16" s="6">
        <f>INDEX('7oferty p.'!B3:G28,MATCH(13,B4:B29,0),2)</f>
        <v>34</v>
      </c>
      <c r="E16" s="42">
        <f>INDEX('7oferty p.'!B3:G28,MATCH(13,B4:B29,0),3)</f>
        <v>31</v>
      </c>
      <c r="F16" s="6">
        <f>INDEX('7oferty p.'!B3:G28,MATCH(13,B4:B29,0),4)</f>
        <v>3</v>
      </c>
      <c r="G16" s="42">
        <f>INDEX('7oferty p.'!B3:G28,MATCH(13,B4:B29,0),5)</f>
        <v>55</v>
      </c>
      <c r="H16" s="6">
        <f>INDEX('7oferty p.'!B3:G28,MATCH(13,B4:B29,0),6)</f>
        <v>-21</v>
      </c>
    </row>
    <row r="17" spans="2:8" x14ac:dyDescent="0.2">
      <c r="B17" s="6">
        <f>RANK('7oferty p.'!C16,'7oferty p.'!$C$3:'7oferty p.'!$C$28,1)+COUNTIF('7oferty p.'!$C$3:'7oferty p.'!C16,'7oferty p.'!C16)-1</f>
        <v>2</v>
      </c>
      <c r="C17" s="5" t="str">
        <f>INDEX('7oferty p.'!B3:G28,MATCH(14,B4:B29,0),1)</f>
        <v>stalowowolski</v>
      </c>
      <c r="D17" s="6">
        <f>INDEX('7oferty p.'!B3:G28,MATCH(14,B4:B29,0),2)</f>
        <v>37</v>
      </c>
      <c r="E17" s="42">
        <f>INDEX('7oferty p.'!B3:G28,MATCH(14,B4:B29,0),3)</f>
        <v>76</v>
      </c>
      <c r="F17" s="6">
        <f>INDEX('7oferty p.'!B3:G28,MATCH(14,B4:B29,0),4)</f>
        <v>-39</v>
      </c>
      <c r="G17" s="42">
        <f>INDEX('7oferty p.'!B3:G28,MATCH(14,B4:B29,0),5)</f>
        <v>40</v>
      </c>
      <c r="H17" s="6">
        <f>INDEX('7oferty p.'!B3:G28,MATCH(14,B4:B29,0),6)</f>
        <v>-3</v>
      </c>
    </row>
    <row r="18" spans="2:8" x14ac:dyDescent="0.2">
      <c r="B18" s="6">
        <f>RANK('7oferty p.'!C17,'7oferty p.'!$C$3:'7oferty p.'!$C$28,1)+COUNTIF('7oferty p.'!$C$3:'7oferty p.'!C17,'7oferty p.'!C17)-1</f>
        <v>23</v>
      </c>
      <c r="C18" s="5" t="str">
        <f>INDEX('7oferty p.'!B3:G28,MATCH(15,B4:B29,0),1)</f>
        <v>kolbuszowski</v>
      </c>
      <c r="D18" s="6">
        <f>INDEX('7oferty p.'!B3:G28,MATCH(15,B4:B29,0),2)</f>
        <v>46</v>
      </c>
      <c r="E18" s="42">
        <f>INDEX('7oferty p.'!B3:G28,MATCH(15,B4:B29,0),3)</f>
        <v>81</v>
      </c>
      <c r="F18" s="6">
        <f>INDEX('7oferty p.'!B3:G28,MATCH(15,B4:B29,0),4)</f>
        <v>-35</v>
      </c>
      <c r="G18" s="42">
        <f>INDEX('7oferty p.'!B3:G28,MATCH(15,B4:B29,0),5)</f>
        <v>81</v>
      </c>
      <c r="H18" s="6">
        <f>INDEX('7oferty p.'!B3:G28,MATCH(15,B4:B29,0),6)</f>
        <v>-35</v>
      </c>
    </row>
    <row r="19" spans="2:8" x14ac:dyDescent="0.2">
      <c r="B19" s="6">
        <f>RANK('7oferty p.'!C18,'7oferty p.'!$C$3:'7oferty p.'!$C$28,1)+COUNTIF('7oferty p.'!$C$3:'7oferty p.'!C18,'7oferty p.'!C18)-1</f>
        <v>9</v>
      </c>
      <c r="C19" s="5" t="str">
        <f>INDEX('7oferty p.'!B3:G28,MATCH(16,B4:B29,0),1)</f>
        <v xml:space="preserve">tarnobrzeski </v>
      </c>
      <c r="D19" s="6">
        <f>INDEX('7oferty p.'!B3:G28,MATCH(16,B4:B29,0),2)</f>
        <v>54</v>
      </c>
      <c r="E19" s="42">
        <f>INDEX('7oferty p.'!B3:G28,MATCH(16,B4:B29,0),3)</f>
        <v>6</v>
      </c>
      <c r="F19" s="6">
        <f>INDEX('7oferty p.'!B3:G28,MATCH(16,B4:B29,0),4)</f>
        <v>48</v>
      </c>
      <c r="G19" s="42">
        <f>INDEX('7oferty p.'!B3:G28,MATCH(16,B4:B29,0),5)</f>
        <v>57</v>
      </c>
      <c r="H19" s="6">
        <f>INDEX('7oferty p.'!B3:G28,MATCH(16,B4:B29,0),6)</f>
        <v>-3</v>
      </c>
    </row>
    <row r="20" spans="2:8" x14ac:dyDescent="0.2">
      <c r="B20" s="6">
        <f>RANK('7oferty p.'!C19,'7oferty p.'!$C$3:'7oferty p.'!$C$28,1)+COUNTIF('7oferty p.'!$C$3:'7oferty p.'!C19,'7oferty p.'!C19)-1</f>
        <v>17</v>
      </c>
      <c r="C20" s="5" t="str">
        <f>INDEX('7oferty p.'!B3:G28,MATCH(17,B4:B29,0),1)</f>
        <v>rzeszowski</v>
      </c>
      <c r="D20" s="6">
        <f>INDEX('7oferty p.'!B3:G28,MATCH(17,B4:B29,0),2)</f>
        <v>63</v>
      </c>
      <c r="E20" s="42">
        <f>INDEX('7oferty p.'!B3:G28,MATCH(17,B4:B29,0),3)</f>
        <v>83</v>
      </c>
      <c r="F20" s="6">
        <f>INDEX('7oferty p.'!B3:G28,MATCH(17,B4:B29,0),4)</f>
        <v>-20</v>
      </c>
      <c r="G20" s="42">
        <f>INDEX('7oferty p.'!B3:G28,MATCH(17,B4:B29,0),5)</f>
        <v>79</v>
      </c>
      <c r="H20" s="6">
        <f>INDEX('7oferty p.'!B3:G28,MATCH(17,B4:B29,0),6)</f>
        <v>-16</v>
      </c>
    </row>
    <row r="21" spans="2:8" x14ac:dyDescent="0.2">
      <c r="B21" s="6">
        <f>RANK('7oferty p.'!C20,'7oferty p.'!$C$3:'7oferty p.'!$C$28,1)+COUNTIF('7oferty p.'!$C$3:'7oferty p.'!C20,'7oferty p.'!C20)-1</f>
        <v>19</v>
      </c>
      <c r="C21" s="5" t="str">
        <f>INDEX('7oferty p.'!B3:G28,MATCH(18,B4:B29,0),1)</f>
        <v>jarosławski</v>
      </c>
      <c r="D21" s="6">
        <f>INDEX('7oferty p.'!B3:G28,MATCH(18,B4:B29,0),2)</f>
        <v>64</v>
      </c>
      <c r="E21" s="42">
        <f>INDEX('7oferty p.'!B3:G28,MATCH(18,B4:B29,0),3)</f>
        <v>71</v>
      </c>
      <c r="F21" s="6">
        <f>INDEX('7oferty p.'!B3:G28,MATCH(18,B4:B29,0),4)</f>
        <v>-7</v>
      </c>
      <c r="G21" s="42">
        <f>INDEX('7oferty p.'!B3:G28,MATCH(18,B4:B29,0),5)</f>
        <v>47</v>
      </c>
      <c r="H21" s="6">
        <f>INDEX('7oferty p.'!B3:G28,MATCH(18,B4:B29,0),6)</f>
        <v>17</v>
      </c>
    </row>
    <row r="22" spans="2:8" x14ac:dyDescent="0.2">
      <c r="B22" s="6">
        <f>RANK('7oferty p.'!C21,'7oferty p.'!$C$3:'7oferty p.'!$C$28,1)+COUNTIF('7oferty p.'!$C$3:'7oferty p.'!C21,'7oferty p.'!C21)-1</f>
        <v>14</v>
      </c>
      <c r="C22" s="5" t="str">
        <f>INDEX('7oferty p.'!B3:G28,MATCH(19,B4:B29,0),1)</f>
        <v>sanocki</v>
      </c>
      <c r="D22" s="6">
        <f>INDEX('7oferty p.'!B3:G28,MATCH(19,B4:B29,0),2)</f>
        <v>69</v>
      </c>
      <c r="E22" s="42">
        <f>INDEX('7oferty p.'!B3:G28,MATCH(19,B4:B29,0),3)</f>
        <v>81</v>
      </c>
      <c r="F22" s="6">
        <f>INDEX('7oferty p.'!B3:G28,MATCH(19,B4:B29,0),4)</f>
        <v>-12</v>
      </c>
      <c r="G22" s="42">
        <f>INDEX('7oferty p.'!B3:G28,MATCH(19,B4:B29,0),5)</f>
        <v>115</v>
      </c>
      <c r="H22" s="6">
        <f>INDEX('7oferty p.'!B3:G28,MATCH(19,B4:B29,0),6)</f>
        <v>-46</v>
      </c>
    </row>
    <row r="23" spans="2:8" x14ac:dyDescent="0.2">
      <c r="B23" s="6">
        <f>RANK('7oferty p.'!C22,'7oferty p.'!$C$3:'7oferty p.'!$C$28,1)+COUNTIF('7oferty p.'!$C$3:'7oferty p.'!C22,'7oferty p.'!C22)-1</f>
        <v>13</v>
      </c>
      <c r="C23" s="5" t="str">
        <f>INDEX('7oferty p.'!B3:G28,MATCH(20,B4:B29,0),1)</f>
        <v>leżajski</v>
      </c>
      <c r="D23" s="6">
        <f>INDEX('7oferty p.'!B3:G28,MATCH(20,B4:B29,0),2)</f>
        <v>92</v>
      </c>
      <c r="E23" s="42">
        <f>INDEX('7oferty p.'!B3:G28,MATCH(20,B4:B29,0),3)</f>
        <v>21</v>
      </c>
      <c r="F23" s="6">
        <f>INDEX('7oferty p.'!B3:G28,MATCH(20,B4:B29,0),4)</f>
        <v>71</v>
      </c>
      <c r="G23" s="42">
        <f>INDEX('7oferty p.'!B3:G28,MATCH(20,B4:B29,0),5)</f>
        <v>42</v>
      </c>
      <c r="H23" s="6">
        <f>INDEX('7oferty p.'!B3:G28,MATCH(20,B4:B29,0),6)</f>
        <v>50</v>
      </c>
    </row>
    <row r="24" spans="2:8" x14ac:dyDescent="0.2">
      <c r="B24" s="6">
        <f>RANK('7oferty p.'!C23,'7oferty p.'!$C$3:'7oferty p.'!$C$28,1)+COUNTIF('7oferty p.'!$C$3:'7oferty p.'!C23,'7oferty p.'!C23)-1</f>
        <v>16</v>
      </c>
      <c r="C24" s="5" t="str">
        <f>INDEX('7oferty p.'!B3:G28,MATCH(21,B4:B29,0),1)</f>
        <v>mielecki</v>
      </c>
      <c r="D24" s="6">
        <f>INDEX('7oferty p.'!B3:G28,MATCH(21,B4:B29,0),2)</f>
        <v>124</v>
      </c>
      <c r="E24" s="42">
        <f>INDEX('7oferty p.'!B3:G28,MATCH(21,B4:B29,0),3)</f>
        <v>113</v>
      </c>
      <c r="F24" s="6">
        <f>INDEX('7oferty p.'!B3:G28,MATCH(21,B4:B29,0),4)</f>
        <v>11</v>
      </c>
      <c r="G24" s="42">
        <f>INDEX('7oferty p.'!B3:G28,MATCH(21,B4:B29,0),5)</f>
        <v>139</v>
      </c>
      <c r="H24" s="6">
        <f>INDEX('7oferty p.'!B3:G28,MATCH(21,B4:B29,0),6)</f>
        <v>-15</v>
      </c>
    </row>
    <row r="25" spans="2:8" x14ac:dyDescent="0.2">
      <c r="B25" s="6">
        <f>RANK('7oferty p.'!C24,'7oferty p.'!$C$3:'7oferty p.'!$C$28,1)+COUNTIF('7oferty p.'!$C$3:'7oferty p.'!C24,'7oferty p.'!C24)-1</f>
        <v>10</v>
      </c>
      <c r="C25" s="5" t="str">
        <f>INDEX('7oferty p.'!B3:G28,MATCH(22,B4:B29,0),1)</f>
        <v>jasielski</v>
      </c>
      <c r="D25" s="6">
        <f>INDEX('7oferty p.'!B3:G28,MATCH(22,B4:B29,0),2)</f>
        <v>135</v>
      </c>
      <c r="E25" s="42">
        <f>INDEX('7oferty p.'!B3:G28,MATCH(22,B4:B29,0),3)</f>
        <v>161</v>
      </c>
      <c r="F25" s="6">
        <f>INDEX('7oferty p.'!B3:G28,MATCH(22,B4:B29,0),4)</f>
        <v>-26</v>
      </c>
      <c r="G25" s="42">
        <f>INDEX('7oferty p.'!B3:G28,MATCH(22,B4:B29,0),5)</f>
        <v>83</v>
      </c>
      <c r="H25" s="6">
        <f>INDEX('7oferty p.'!B3:G28,MATCH(22,B4:B29,0),6)</f>
        <v>52</v>
      </c>
    </row>
    <row r="26" spans="2:8" x14ac:dyDescent="0.2">
      <c r="B26" s="6">
        <f>RANK('7oferty p.'!C25,'7oferty p.'!$C$3:'7oferty p.'!$C$28,1)+COUNTIF('7oferty p.'!$C$3:'7oferty p.'!C25,'7oferty p.'!C25)-1</f>
        <v>6</v>
      </c>
      <c r="C26" s="5" t="str">
        <f>INDEX('7oferty p.'!B3:G28,MATCH(23,B4:B29,0),1)</f>
        <v>przeworski</v>
      </c>
      <c r="D26" s="6">
        <f>INDEX('7oferty p.'!B3:G28,MATCH(23,B4:B29,0),2)</f>
        <v>162</v>
      </c>
      <c r="E26" s="42">
        <f>INDEX('7oferty p.'!B3:G28,MATCH(23,B4:B29,0),3)</f>
        <v>191</v>
      </c>
      <c r="F26" s="6">
        <f>INDEX('7oferty p.'!B3:G28,MATCH(23,B4:B29,0),4)</f>
        <v>-29</v>
      </c>
      <c r="G26" s="42">
        <f>INDEX('7oferty p.'!B3:G28,MATCH(23,B4:B29,0),5)</f>
        <v>103</v>
      </c>
      <c r="H26" s="6">
        <f>INDEX('7oferty p.'!B3:G28,MATCH(23,B4:B29,0),6)</f>
        <v>59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dębicki</v>
      </c>
      <c r="D27" s="6">
        <f>INDEX('7oferty p.'!B3:G28,MATCH(24,B4:B29,0),2)</f>
        <v>231</v>
      </c>
      <c r="E27" s="42">
        <f>INDEX('7oferty p.'!B3:G28,MATCH(24,B4:B29,0),3)</f>
        <v>180</v>
      </c>
      <c r="F27" s="6">
        <f>INDEX('7oferty p.'!B3:G28,MATCH(24,B4:B29,0),4)</f>
        <v>51</v>
      </c>
      <c r="G27" s="42">
        <f>INDEX('7oferty p.'!B3:G28,MATCH(24,B4:B29,0),5)</f>
        <v>174</v>
      </c>
      <c r="H27" s="6">
        <f>INDEX('7oferty p.'!B3:G28,MATCH(24,B4:B29,0),6)</f>
        <v>57</v>
      </c>
    </row>
    <row r="28" spans="2:8" x14ac:dyDescent="0.2">
      <c r="B28" s="6">
        <f>RANK('7oferty p.'!C27,'7oferty p.'!$C$3:'7oferty p.'!$C$28,1)+COUNTIF('7oferty p.'!$C$3:'7oferty p.'!C27,'7oferty p.'!C27)-1</f>
        <v>11</v>
      </c>
      <c r="C28" s="5" t="str">
        <f>INDEX('7oferty p.'!B3:G28,MATCH(25,B4:B29,0),1)</f>
        <v>Rzeszów</v>
      </c>
      <c r="D28" s="6">
        <f>INDEX('7oferty p.'!B3:G28,MATCH(25,B4:B29,0),2)</f>
        <v>378</v>
      </c>
      <c r="E28" s="42">
        <f>INDEX('7oferty p.'!B3:G28,MATCH(25,B4:B29,0),3)</f>
        <v>329</v>
      </c>
      <c r="F28" s="6">
        <f>INDEX('7oferty p.'!B3:G28,MATCH(25,B4:B29,0),4)</f>
        <v>49</v>
      </c>
      <c r="G28" s="42">
        <f>INDEX('7oferty p.'!B3:G28,MATCH(25,B4:B29,0),5)</f>
        <v>593</v>
      </c>
      <c r="H28" s="6">
        <f>INDEX('7oferty p.'!B3:G28,MATCH(25,B4:B29,0),6)</f>
        <v>-215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1738</v>
      </c>
      <c r="E29" s="44">
        <f>INDEX('7oferty p.'!B3:G28,MATCH(26,B4:B29,0),3)</f>
        <v>1832</v>
      </c>
      <c r="F29" s="40">
        <f>INDEX('7oferty p.'!B3:G28,MATCH(26,B4:B29,0),4)</f>
        <v>-94</v>
      </c>
      <c r="G29" s="44">
        <f>INDEX('7oferty p.'!B3:G28,MATCH(26,B4:B29,0),5)</f>
        <v>1895</v>
      </c>
      <c r="H29" s="40">
        <f>INDEX('7oferty p.'!B3:G28,MATCH(26,B4:B29,0),6)</f>
        <v>-157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28515625" style="3" customWidth="1"/>
    <col min="4" max="4" width="12.42578125" style="3" customWidth="1"/>
    <col min="5" max="5" width="16.28515625" style="3" customWidth="1"/>
    <col min="6" max="6" width="12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93</v>
      </c>
      <c r="D3" s="38" t="s">
        <v>75</v>
      </c>
      <c r="E3" s="37" t="s">
        <v>28</v>
      </c>
      <c r="F3" s="38" t="s">
        <v>94</v>
      </c>
      <c r="G3" s="37" t="s">
        <v>26</v>
      </c>
    </row>
    <row r="4" spans="2:11" x14ac:dyDescent="0.2">
      <c r="B4" s="5" t="s">
        <v>0</v>
      </c>
      <c r="C4" s="28">
        <v>1</v>
      </c>
      <c r="D4" s="42">
        <v>5</v>
      </c>
      <c r="E4" s="28">
        <f t="shared" ref="E4:E28" si="0">SUM(C4)-D4</f>
        <v>-4</v>
      </c>
      <c r="F4" s="42">
        <v>0</v>
      </c>
      <c r="G4" s="28">
        <f t="shared" ref="G4:G28" si="1">SUM(C4)-F4</f>
        <v>1</v>
      </c>
      <c r="H4" s="7"/>
    </row>
    <row r="5" spans="2:11" x14ac:dyDescent="0.2">
      <c r="B5" s="5" t="s">
        <v>1</v>
      </c>
      <c r="C5" s="28">
        <v>18</v>
      </c>
      <c r="D5" s="42">
        <v>26</v>
      </c>
      <c r="E5" s="28">
        <f t="shared" si="0"/>
        <v>-8</v>
      </c>
      <c r="F5" s="42">
        <v>9</v>
      </c>
      <c r="G5" s="28">
        <f t="shared" si="1"/>
        <v>9</v>
      </c>
      <c r="H5" s="7"/>
    </row>
    <row r="6" spans="2:11" x14ac:dyDescent="0.2">
      <c r="B6" s="5" t="s">
        <v>2</v>
      </c>
      <c r="C6" s="28">
        <v>10</v>
      </c>
      <c r="D6" s="42">
        <v>24</v>
      </c>
      <c r="E6" s="28">
        <f t="shared" si="0"/>
        <v>-14</v>
      </c>
      <c r="F6" s="42">
        <v>18</v>
      </c>
      <c r="G6" s="28">
        <f t="shared" si="1"/>
        <v>-8</v>
      </c>
      <c r="H6" s="7"/>
    </row>
    <row r="7" spans="2:11" x14ac:dyDescent="0.2">
      <c r="B7" s="5" t="s">
        <v>3</v>
      </c>
      <c r="C7" s="28">
        <v>13</v>
      </c>
      <c r="D7" s="42">
        <v>21</v>
      </c>
      <c r="E7" s="28">
        <f t="shared" si="0"/>
        <v>-8</v>
      </c>
      <c r="F7" s="42">
        <v>19</v>
      </c>
      <c r="G7" s="28">
        <f t="shared" si="1"/>
        <v>-6</v>
      </c>
      <c r="H7" s="7"/>
    </row>
    <row r="8" spans="2:11" x14ac:dyDescent="0.2">
      <c r="B8" s="5" t="s">
        <v>4</v>
      </c>
      <c r="C8" s="28">
        <v>31</v>
      </c>
      <c r="D8" s="42">
        <v>44</v>
      </c>
      <c r="E8" s="28">
        <f t="shared" si="0"/>
        <v>-13</v>
      </c>
      <c r="F8" s="42">
        <v>24</v>
      </c>
      <c r="G8" s="28">
        <f t="shared" si="1"/>
        <v>7</v>
      </c>
      <c r="H8" s="7"/>
    </row>
    <row r="9" spans="2:11" x14ac:dyDescent="0.2">
      <c r="B9" s="5" t="s">
        <v>5</v>
      </c>
      <c r="C9" s="28">
        <v>17</v>
      </c>
      <c r="D9" s="42">
        <v>17</v>
      </c>
      <c r="E9" s="28">
        <f t="shared" si="0"/>
        <v>0</v>
      </c>
      <c r="F9" s="42">
        <v>14</v>
      </c>
      <c r="G9" s="28">
        <f t="shared" si="1"/>
        <v>3</v>
      </c>
      <c r="H9" s="7"/>
    </row>
    <row r="10" spans="2:11" x14ac:dyDescent="0.2">
      <c r="B10" s="9" t="s">
        <v>6</v>
      </c>
      <c r="C10" s="28">
        <v>6</v>
      </c>
      <c r="D10" s="42">
        <v>17</v>
      </c>
      <c r="E10" s="28">
        <f t="shared" si="0"/>
        <v>-11</v>
      </c>
      <c r="F10" s="42">
        <v>3</v>
      </c>
      <c r="G10" s="28">
        <f t="shared" si="1"/>
        <v>3</v>
      </c>
      <c r="H10" s="7"/>
    </row>
    <row r="11" spans="2:11" x14ac:dyDescent="0.2">
      <c r="B11" s="5" t="s">
        <v>7</v>
      </c>
      <c r="C11" s="28">
        <v>0</v>
      </c>
      <c r="D11" s="42">
        <v>2</v>
      </c>
      <c r="E11" s="28">
        <f t="shared" si="0"/>
        <v>-2</v>
      </c>
      <c r="F11" s="42">
        <v>1</v>
      </c>
      <c r="G11" s="28">
        <f t="shared" si="1"/>
        <v>-1</v>
      </c>
      <c r="H11" s="7"/>
    </row>
    <row r="12" spans="2:11" x14ac:dyDescent="0.2">
      <c r="B12" s="5" t="s">
        <v>8</v>
      </c>
      <c r="C12" s="28">
        <v>10</v>
      </c>
      <c r="D12" s="42">
        <v>1</v>
      </c>
      <c r="E12" s="28">
        <f t="shared" si="0"/>
        <v>9</v>
      </c>
      <c r="F12" s="42">
        <v>1</v>
      </c>
      <c r="G12" s="28">
        <f t="shared" si="1"/>
        <v>9</v>
      </c>
      <c r="H12" s="7"/>
    </row>
    <row r="13" spans="2:11" x14ac:dyDescent="0.2">
      <c r="B13" s="5" t="s">
        <v>9</v>
      </c>
      <c r="C13" s="28">
        <v>3</v>
      </c>
      <c r="D13" s="42">
        <v>3</v>
      </c>
      <c r="E13" s="28">
        <f t="shared" si="0"/>
        <v>0</v>
      </c>
      <c r="F13" s="42">
        <v>8</v>
      </c>
      <c r="G13" s="28">
        <f t="shared" si="1"/>
        <v>-5</v>
      </c>
      <c r="H13" s="7"/>
    </row>
    <row r="14" spans="2:11" x14ac:dyDescent="0.2">
      <c r="B14" s="5" t="s">
        <v>10</v>
      </c>
      <c r="C14" s="28">
        <v>3</v>
      </c>
      <c r="D14" s="42">
        <v>3</v>
      </c>
      <c r="E14" s="28">
        <f t="shared" si="0"/>
        <v>0</v>
      </c>
      <c r="F14" s="42">
        <v>2</v>
      </c>
      <c r="G14" s="28">
        <f t="shared" si="1"/>
        <v>1</v>
      </c>
      <c r="H14" s="7"/>
    </row>
    <row r="15" spans="2:11" x14ac:dyDescent="0.2">
      <c r="B15" s="5" t="s">
        <v>11</v>
      </c>
      <c r="C15" s="28">
        <v>34</v>
      </c>
      <c r="D15" s="42">
        <v>29</v>
      </c>
      <c r="E15" s="28">
        <f t="shared" si="0"/>
        <v>5</v>
      </c>
      <c r="F15" s="42">
        <v>11</v>
      </c>
      <c r="G15" s="28">
        <f t="shared" si="1"/>
        <v>23</v>
      </c>
      <c r="H15" s="7"/>
    </row>
    <row r="16" spans="2:11" x14ac:dyDescent="0.2">
      <c r="B16" s="5" t="s">
        <v>12</v>
      </c>
      <c r="C16" s="28">
        <v>4</v>
      </c>
      <c r="D16" s="42">
        <v>23</v>
      </c>
      <c r="E16" s="28">
        <f t="shared" si="0"/>
        <v>-19</v>
      </c>
      <c r="F16" s="42">
        <v>10</v>
      </c>
      <c r="G16" s="28">
        <f t="shared" si="1"/>
        <v>-6</v>
      </c>
      <c r="H16" s="7"/>
    </row>
    <row r="17" spans="2:8" x14ac:dyDescent="0.2">
      <c r="B17" s="5" t="s">
        <v>13</v>
      </c>
      <c r="C17" s="28">
        <v>5</v>
      </c>
      <c r="D17" s="42">
        <v>1</v>
      </c>
      <c r="E17" s="28">
        <f t="shared" si="0"/>
        <v>4</v>
      </c>
      <c r="F17" s="42">
        <v>4</v>
      </c>
      <c r="G17" s="28">
        <f t="shared" si="1"/>
        <v>1</v>
      </c>
      <c r="H17" s="7"/>
    </row>
    <row r="18" spans="2:8" x14ac:dyDescent="0.2">
      <c r="B18" s="5" t="s">
        <v>14</v>
      </c>
      <c r="C18" s="28">
        <v>48</v>
      </c>
      <c r="D18" s="42">
        <v>97</v>
      </c>
      <c r="E18" s="28">
        <f t="shared" si="0"/>
        <v>-49</v>
      </c>
      <c r="F18" s="42">
        <v>42</v>
      </c>
      <c r="G18" s="28">
        <f t="shared" si="1"/>
        <v>6</v>
      </c>
      <c r="H18" s="7"/>
    </row>
    <row r="19" spans="2:8" x14ac:dyDescent="0.2">
      <c r="B19" s="5" t="s">
        <v>15</v>
      </c>
      <c r="C19" s="28">
        <v>1</v>
      </c>
      <c r="D19" s="42">
        <v>30</v>
      </c>
      <c r="E19" s="28">
        <f t="shared" si="0"/>
        <v>-29</v>
      </c>
      <c r="F19" s="42">
        <v>12</v>
      </c>
      <c r="G19" s="28">
        <f t="shared" si="1"/>
        <v>-11</v>
      </c>
      <c r="H19" s="7"/>
    </row>
    <row r="20" spans="2:8" x14ac:dyDescent="0.2">
      <c r="B20" s="5" t="s">
        <v>16</v>
      </c>
      <c r="C20" s="28">
        <v>25</v>
      </c>
      <c r="D20" s="42">
        <v>24</v>
      </c>
      <c r="E20" s="28">
        <f t="shared" si="0"/>
        <v>1</v>
      </c>
      <c r="F20" s="42">
        <v>18</v>
      </c>
      <c r="G20" s="28">
        <f t="shared" si="1"/>
        <v>7</v>
      </c>
      <c r="H20" s="7"/>
    </row>
    <row r="21" spans="2:8" x14ac:dyDescent="0.2">
      <c r="B21" s="5" t="s">
        <v>17</v>
      </c>
      <c r="C21" s="28">
        <v>22</v>
      </c>
      <c r="D21" s="42">
        <v>24</v>
      </c>
      <c r="E21" s="28">
        <f t="shared" si="0"/>
        <v>-2</v>
      </c>
      <c r="F21" s="42">
        <v>12</v>
      </c>
      <c r="G21" s="28">
        <f t="shared" si="1"/>
        <v>10</v>
      </c>
      <c r="H21" s="7"/>
    </row>
    <row r="22" spans="2:8" x14ac:dyDescent="0.2">
      <c r="B22" s="5" t="s">
        <v>18</v>
      </c>
      <c r="C22" s="28">
        <v>15</v>
      </c>
      <c r="D22" s="42">
        <v>9</v>
      </c>
      <c r="E22" s="28">
        <f t="shared" si="0"/>
        <v>6</v>
      </c>
      <c r="F22" s="42">
        <v>20</v>
      </c>
      <c r="G22" s="28">
        <f t="shared" si="1"/>
        <v>-5</v>
      </c>
      <c r="H22" s="7"/>
    </row>
    <row r="23" spans="2:8" x14ac:dyDescent="0.2">
      <c r="B23" s="5" t="s">
        <v>19</v>
      </c>
      <c r="C23" s="28">
        <v>8</v>
      </c>
      <c r="D23" s="42">
        <v>6</v>
      </c>
      <c r="E23" s="28">
        <f t="shared" si="0"/>
        <v>2</v>
      </c>
      <c r="F23" s="42">
        <v>14</v>
      </c>
      <c r="G23" s="28">
        <f t="shared" si="1"/>
        <v>-6</v>
      </c>
      <c r="H23" s="7"/>
    </row>
    <row r="24" spans="2:8" x14ac:dyDescent="0.2">
      <c r="B24" s="5" t="s">
        <v>20</v>
      </c>
      <c r="C24" s="28">
        <v>5</v>
      </c>
      <c r="D24" s="42">
        <v>2</v>
      </c>
      <c r="E24" s="28">
        <f t="shared" si="0"/>
        <v>3</v>
      </c>
      <c r="F24" s="42">
        <v>4</v>
      </c>
      <c r="G24" s="28">
        <f t="shared" si="1"/>
        <v>1</v>
      </c>
      <c r="H24" s="7"/>
    </row>
    <row r="25" spans="2:8" x14ac:dyDescent="0.2">
      <c r="B25" s="5" t="s">
        <v>21</v>
      </c>
      <c r="C25" s="28">
        <v>6</v>
      </c>
      <c r="D25" s="42">
        <v>4</v>
      </c>
      <c r="E25" s="28">
        <f t="shared" si="0"/>
        <v>2</v>
      </c>
      <c r="F25" s="42">
        <v>4</v>
      </c>
      <c r="G25" s="28">
        <f t="shared" si="1"/>
        <v>2</v>
      </c>
      <c r="H25" s="7"/>
    </row>
    <row r="26" spans="2:8" x14ac:dyDescent="0.2">
      <c r="B26" s="5" t="s">
        <v>22</v>
      </c>
      <c r="C26" s="28">
        <v>6</v>
      </c>
      <c r="D26" s="42">
        <v>14</v>
      </c>
      <c r="E26" s="28">
        <f t="shared" si="0"/>
        <v>-8</v>
      </c>
      <c r="F26" s="42">
        <v>6</v>
      </c>
      <c r="G26" s="28">
        <f t="shared" si="1"/>
        <v>0</v>
      </c>
      <c r="H26" s="7"/>
    </row>
    <row r="27" spans="2:8" x14ac:dyDescent="0.2">
      <c r="B27" s="5" t="s">
        <v>23</v>
      </c>
      <c r="C27" s="28">
        <v>41</v>
      </c>
      <c r="D27" s="42">
        <v>46</v>
      </c>
      <c r="E27" s="28">
        <f t="shared" si="0"/>
        <v>-5</v>
      </c>
      <c r="F27" s="42">
        <v>25</v>
      </c>
      <c r="G27" s="28">
        <f t="shared" si="1"/>
        <v>16</v>
      </c>
      <c r="H27" s="7"/>
    </row>
    <row r="28" spans="2:8" x14ac:dyDescent="0.2">
      <c r="B28" s="5" t="s">
        <v>24</v>
      </c>
      <c r="C28" s="28">
        <v>10</v>
      </c>
      <c r="D28" s="42">
        <v>14</v>
      </c>
      <c r="E28" s="28">
        <f t="shared" si="0"/>
        <v>-4</v>
      </c>
      <c r="F28" s="42">
        <v>12</v>
      </c>
      <c r="G28" s="28">
        <f t="shared" si="1"/>
        <v>-2</v>
      </c>
      <c r="H28" s="7"/>
    </row>
    <row r="29" spans="2:8" ht="15" x14ac:dyDescent="0.25">
      <c r="B29" s="39" t="s">
        <v>25</v>
      </c>
      <c r="C29" s="48">
        <f>SUM(C4:C28)</f>
        <v>342</v>
      </c>
      <c r="D29" s="44">
        <f>SUM(D4:D28)</f>
        <v>486</v>
      </c>
      <c r="E29" s="48">
        <f>SUM(E4:E28)</f>
        <v>-144</v>
      </c>
      <c r="F29" s="44">
        <f>SUM(F4:F28)</f>
        <v>293</v>
      </c>
      <c r="G29" s="48">
        <f>SUM(G4:G28)</f>
        <v>49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12-'24 r.</v>
      </c>
      <c r="E3" s="36" t="str">
        <f>T('8oferty s.'!D3)</f>
        <v>liczba ofert w 11-'24 r.</v>
      </c>
      <c r="F3" s="36" t="str">
        <f>T('8oferty s.'!E3)</f>
        <v>wzrost/spadek do poprzedniego  miesiąca</v>
      </c>
      <c r="G3" s="36" t="str">
        <f>T('8oferty s.'!F3)</f>
        <v>liczba ofert w 12-'23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2</v>
      </c>
      <c r="C4" s="5" t="str">
        <f>INDEX('8oferty s.'!B4:G29,MATCH(1,B4:B29,0),1)</f>
        <v>leski</v>
      </c>
      <c r="D4" s="24">
        <f>INDEX('8oferty s.'!B4:G29,MATCH(1,B4:B29,0),2)</f>
        <v>0</v>
      </c>
      <c r="E4" s="42">
        <f>INDEX('8oferty s.'!B4:G29,MATCH(1,B4:B29,0),3)</f>
        <v>2</v>
      </c>
      <c r="F4" s="6">
        <f>INDEX('8oferty s.'!B4:G29,MATCH(1,B4:B29,0),4)</f>
        <v>-2</v>
      </c>
      <c r="G4" s="42">
        <f>INDEX('8oferty s.'!B4:G29,MATCH(1,B4:B29,0),5)</f>
        <v>1</v>
      </c>
      <c r="H4" s="6">
        <f>INDEX('8oferty s.'!B4:G29,MATCH(1,B4:B29,0),6)</f>
        <v>-1</v>
      </c>
    </row>
    <row r="5" spans="2:8" x14ac:dyDescent="0.2">
      <c r="B5" s="6">
        <f>RANK('8oferty s.'!C5,'8oferty s.'!$C$4:'8oferty s.'!$C$29,1)+COUNTIF('8oferty s.'!$C$4:'8oferty s.'!C5,'8oferty s.'!C5)-1</f>
        <v>19</v>
      </c>
      <c r="C5" s="5" t="str">
        <f>INDEX('8oferty s.'!B4:G29,MATCH(2,B4:B29,0),1)</f>
        <v>bieszczadzki</v>
      </c>
      <c r="D5" s="6">
        <f>INDEX('8oferty s.'!B4:G29,MATCH(2,B4:B29,0),2)</f>
        <v>1</v>
      </c>
      <c r="E5" s="42">
        <f>INDEX('8oferty s.'!B4:G29,MATCH(2,B4:B29,0),3)</f>
        <v>5</v>
      </c>
      <c r="F5" s="6">
        <f>INDEX('8oferty s.'!B4:G29,MATCH(2,B4:B29,0),4)</f>
        <v>-4</v>
      </c>
      <c r="G5" s="42">
        <f>INDEX('8oferty s.'!B4:G29,MATCH(2,B4:B29,0),5)</f>
        <v>0</v>
      </c>
      <c r="H5" s="6">
        <f>INDEX('8oferty s.'!B4:G29,MATCH(2,B4:B29,0),6)</f>
        <v>1</v>
      </c>
    </row>
    <row r="6" spans="2:8" x14ac:dyDescent="0.2">
      <c r="B6" s="6">
        <f>RANK('8oferty s.'!C6,'8oferty s.'!$C$4:'8oferty s.'!$C$29,1)+COUNTIF('8oferty s.'!$C$4:'8oferty s.'!C6,'8oferty s.'!C6)-1</f>
        <v>13</v>
      </c>
      <c r="C6" s="5" t="str">
        <f>INDEX('8oferty s.'!B4:G29,MATCH(3,B4:B29,0),1)</f>
        <v>ropczycko-sędziszowski</v>
      </c>
      <c r="D6" s="6">
        <f>INDEX('8oferty s.'!B4:G29,MATCH(3,B4:B29,0),2)</f>
        <v>1</v>
      </c>
      <c r="E6" s="42">
        <f>INDEX('8oferty s.'!B4:G29,MATCH(3,B4:B29,0),3)</f>
        <v>30</v>
      </c>
      <c r="F6" s="6">
        <f>INDEX('8oferty s.'!B4:G29,MATCH(3,B4:B29,0),4)</f>
        <v>-29</v>
      </c>
      <c r="G6" s="42">
        <f>INDEX('8oferty s.'!B4:G29,MATCH(3,B4:B29,0),5)</f>
        <v>12</v>
      </c>
      <c r="H6" s="6">
        <f>INDEX('8oferty s.'!B4:G29,MATCH(3,B4:B29,0),6)</f>
        <v>-11</v>
      </c>
    </row>
    <row r="7" spans="2:8" x14ac:dyDescent="0.2">
      <c r="B7" s="6">
        <f>RANK('8oferty s.'!C7,'8oferty s.'!$C$4:'8oferty s.'!$C$29,1)+COUNTIF('8oferty s.'!$C$4:'8oferty s.'!C7,'8oferty s.'!C7)-1</f>
        <v>16</v>
      </c>
      <c r="C7" s="5" t="str">
        <f>INDEX('8oferty s.'!B4:G29,MATCH(4,B4:B29,0),1)</f>
        <v>lubaczowski</v>
      </c>
      <c r="D7" s="6">
        <f>INDEX('8oferty s.'!B4:G29,MATCH(4,B4:B29,0),2)</f>
        <v>3</v>
      </c>
      <c r="E7" s="42">
        <f>INDEX('8oferty s.'!B4:G29,MATCH(4,B4:B29,0),3)</f>
        <v>3</v>
      </c>
      <c r="F7" s="6">
        <f>INDEX('8oferty s.'!B4:G29,MATCH(4,B4:B29,0),4)</f>
        <v>0</v>
      </c>
      <c r="G7" s="42">
        <f>INDEX('8oferty s.'!B4:G29,MATCH(4,B4:B29,0),5)</f>
        <v>8</v>
      </c>
      <c r="H7" s="6">
        <f>INDEX('8oferty s.'!B4:G29,MATCH(4,B4:B29,0),6)</f>
        <v>-5</v>
      </c>
    </row>
    <row r="8" spans="2:8" x14ac:dyDescent="0.2">
      <c r="B8" s="6">
        <f>RANK('8oferty s.'!C8,'8oferty s.'!$C$4:'8oferty s.'!$C$29,1)+COUNTIF('8oferty s.'!$C$4:'8oferty s.'!C8,'8oferty s.'!C8)-1</f>
        <v>22</v>
      </c>
      <c r="C8" s="5" t="str">
        <f>INDEX('8oferty s.'!B4:G29,MATCH(5,B4:B29,0),1)</f>
        <v>łańcucki</v>
      </c>
      <c r="D8" s="6">
        <f>INDEX('8oferty s.'!B4:G29,MATCH(5,B4:B29,0),2)</f>
        <v>3</v>
      </c>
      <c r="E8" s="42">
        <f>INDEX('8oferty s.'!B4:G29,MATCH(5,B4:B29,0),3)</f>
        <v>3</v>
      </c>
      <c r="F8" s="6">
        <f>INDEX('8oferty s.'!B4:G29,MATCH(5,B4:B29,0),4)</f>
        <v>0</v>
      </c>
      <c r="G8" s="42">
        <f>INDEX('8oferty s.'!B4:G29,MATCH(5,B4:B29,0),5)</f>
        <v>2</v>
      </c>
      <c r="H8" s="6">
        <f>INDEX('8oferty s.'!B4:G29,MATCH(5,B4:B29,0),6)</f>
        <v>1</v>
      </c>
    </row>
    <row r="9" spans="2:8" x14ac:dyDescent="0.2">
      <c r="B9" s="6">
        <f>RANK('8oferty s.'!C9,'8oferty s.'!$C$4:'8oferty s.'!$C$29,1)+COUNTIF('8oferty s.'!$C$4:'8oferty s.'!C9,'8oferty s.'!C9)-1</f>
        <v>18</v>
      </c>
      <c r="C9" s="5" t="str">
        <f>INDEX('8oferty s.'!B4:G29,MATCH(6,B4:B29,0),1)</f>
        <v>niżański</v>
      </c>
      <c r="D9" s="6">
        <f>INDEX('8oferty s.'!B4:G29,MATCH(6,B4:B29,0),2)</f>
        <v>4</v>
      </c>
      <c r="E9" s="42">
        <f>INDEX('8oferty s.'!B4:G29,MATCH(6,B4:B29,0),3)</f>
        <v>23</v>
      </c>
      <c r="F9" s="6">
        <f>INDEX('8oferty s.'!B4:G29,MATCH(6,B4:B29,0),4)</f>
        <v>-19</v>
      </c>
      <c r="G9" s="42">
        <f>INDEX('8oferty s.'!B4:G29,MATCH(6,B4:B29,0),5)</f>
        <v>10</v>
      </c>
      <c r="H9" s="6">
        <f>INDEX('8oferty s.'!B4:G29,MATCH(6,B4:B29,0),6)</f>
        <v>-6</v>
      </c>
    </row>
    <row r="10" spans="2:8" x14ac:dyDescent="0.2">
      <c r="B10" s="6">
        <f>RANK('8oferty s.'!C10,'8oferty s.'!$C$4:'8oferty s.'!$C$29,1)+COUNTIF('8oferty s.'!$C$4:'8oferty s.'!C10,'8oferty s.'!C10)-1</f>
        <v>9</v>
      </c>
      <c r="C10" s="9" t="str">
        <f>INDEX('8oferty s.'!B4:G29,MATCH(7,B4:B29,0),1)</f>
        <v>przemyski</v>
      </c>
      <c r="D10" s="6">
        <f>INDEX('8oferty s.'!B4:G29,MATCH(7,B4:B29,0),2)</f>
        <v>5</v>
      </c>
      <c r="E10" s="42">
        <f>INDEX('8oferty s.'!B4:G29,MATCH(7,B4:B29,0),3)</f>
        <v>1</v>
      </c>
      <c r="F10" s="6">
        <f>INDEX('8oferty s.'!B4:G29,MATCH(7,B4:B29,0),4)</f>
        <v>4</v>
      </c>
      <c r="G10" s="42">
        <f>INDEX('8oferty s.'!B4:G29,MATCH(7,B4:B29,0),5)</f>
        <v>4</v>
      </c>
      <c r="H10" s="6">
        <f>INDEX('8oferty s.'!B4:G29,MATCH(7,B4:B29,0),6)</f>
        <v>1</v>
      </c>
    </row>
    <row r="11" spans="2:8" x14ac:dyDescent="0.2">
      <c r="B11" s="6">
        <f>RANK('8oferty s.'!C11,'8oferty s.'!$C$4:'8oferty s.'!$C$29,1)+COUNTIF('8oferty s.'!$C$4:'8oferty s.'!C11,'8oferty s.'!C11)-1</f>
        <v>1</v>
      </c>
      <c r="C11" s="5" t="str">
        <f>INDEX('8oferty s.'!B4:G29,MATCH(8,B4:B29,0),1)</f>
        <v xml:space="preserve">tarnobrzeski </v>
      </c>
      <c r="D11" s="6">
        <f>INDEX('8oferty s.'!B4:G29,MATCH(8,B4:B29,0),2)</f>
        <v>5</v>
      </c>
      <c r="E11" s="42">
        <f>INDEX('8oferty s.'!B4:G29,MATCH(8,B4:B29,0),3)</f>
        <v>2</v>
      </c>
      <c r="F11" s="6">
        <f>INDEX('8oferty s.'!B4:G29,MATCH(8,B4:B29,0),4)</f>
        <v>3</v>
      </c>
      <c r="G11" s="42">
        <f>INDEX('8oferty s.'!B4:G29,MATCH(8,B4:B29,0),5)</f>
        <v>4</v>
      </c>
      <c r="H11" s="6">
        <f>INDEX('8oferty s.'!B4:G29,MATCH(8,B4:B29,0),6)</f>
        <v>1</v>
      </c>
    </row>
    <row r="12" spans="2:8" x14ac:dyDescent="0.2">
      <c r="B12" s="6">
        <f>RANK('8oferty s.'!C12,'8oferty s.'!$C$4:'8oferty s.'!$C$29,1)+COUNTIF('8oferty s.'!$C$4:'8oferty s.'!C12,'8oferty s.'!C12)-1</f>
        <v>14</v>
      </c>
      <c r="C12" s="5" t="str">
        <f>INDEX('8oferty s.'!B4:G29,MATCH(9,B4:B29,0),1)</f>
        <v>krośnieński</v>
      </c>
      <c r="D12" s="6">
        <f>INDEX('8oferty s.'!B4:G29,MATCH(9,B4:B29,0),2)</f>
        <v>6</v>
      </c>
      <c r="E12" s="42">
        <f>INDEX('8oferty s.'!B4:G29,MATCH(9,B4:B29,0),3)</f>
        <v>17</v>
      </c>
      <c r="F12" s="6">
        <f>INDEX('8oferty s.'!B4:G29,MATCH(9,B4:B29,0),4)</f>
        <v>-11</v>
      </c>
      <c r="G12" s="42">
        <f>INDEX('8oferty s.'!B4:G29,MATCH(9,B4:B29,0),5)</f>
        <v>3</v>
      </c>
      <c r="H12" s="6">
        <f>INDEX('8oferty s.'!B4:G29,MATCH(9,B4:B29,0),6)</f>
        <v>3</v>
      </c>
    </row>
    <row r="13" spans="2:8" x14ac:dyDescent="0.2">
      <c r="B13" s="6">
        <f>RANK('8oferty s.'!C13,'8oferty s.'!$C$4:'8oferty s.'!$C$29,1)+COUNTIF('8oferty s.'!$C$4:'8oferty s.'!C13,'8oferty s.'!C13)-1</f>
        <v>4</v>
      </c>
      <c r="C13" s="5" t="str">
        <f>INDEX('8oferty s.'!B4:G29,MATCH(10,B4:B29,0),1)</f>
        <v>Krosno</v>
      </c>
      <c r="D13" s="6">
        <f>INDEX('8oferty s.'!B4:G29,MATCH(10,B4:B29,0),2)</f>
        <v>6</v>
      </c>
      <c r="E13" s="42">
        <f>INDEX('8oferty s.'!B4:G29,MATCH(10,B4:B29,0),3)</f>
        <v>4</v>
      </c>
      <c r="F13" s="6">
        <f>INDEX('8oferty s.'!B4:G29,MATCH(10,B4:B29,0),4)</f>
        <v>2</v>
      </c>
      <c r="G13" s="42">
        <f>INDEX('8oferty s.'!B4:G29,MATCH(10,B4:B29,0),5)</f>
        <v>4</v>
      </c>
      <c r="H13" s="6">
        <f>INDEX('8oferty s.'!B4:G29,MATCH(10,B4:B29,0),6)</f>
        <v>2</v>
      </c>
    </row>
    <row r="14" spans="2:8" x14ac:dyDescent="0.2">
      <c r="B14" s="6">
        <f>RANK('8oferty s.'!C14,'8oferty s.'!$C$4:'8oferty s.'!$C$29,1)+COUNTIF('8oferty s.'!$C$4:'8oferty s.'!C14,'8oferty s.'!C14)-1</f>
        <v>5</v>
      </c>
      <c r="C14" s="5" t="str">
        <f>INDEX('8oferty s.'!B4:G29,MATCH(11,B4:B29,0),1)</f>
        <v>Przemyśl</v>
      </c>
      <c r="D14" s="6">
        <f>INDEX('8oferty s.'!B4:G29,MATCH(11,B4:B29,0),2)</f>
        <v>6</v>
      </c>
      <c r="E14" s="42">
        <f>INDEX('8oferty s.'!B4:G29,MATCH(11,B4:B29,0),3)</f>
        <v>14</v>
      </c>
      <c r="F14" s="6">
        <f>INDEX('8oferty s.'!B4:G29,MATCH(11,B4:B29,0),4)</f>
        <v>-8</v>
      </c>
      <c r="G14" s="42">
        <f>INDEX('8oferty s.'!B4:G29,MATCH(11,B4:B29,0),5)</f>
        <v>6</v>
      </c>
      <c r="H14" s="6">
        <f>INDEX('8oferty s.'!B4:G29,MATCH(11,B4:B29,0),6)</f>
        <v>0</v>
      </c>
    </row>
    <row r="15" spans="2:8" x14ac:dyDescent="0.2">
      <c r="B15" s="6">
        <f>RANK('8oferty s.'!C15,'8oferty s.'!$C$4:'8oferty s.'!$C$29,1)+COUNTIF('8oferty s.'!$C$4:'8oferty s.'!C15,'8oferty s.'!C15)-1</f>
        <v>23</v>
      </c>
      <c r="C15" s="5" t="str">
        <f>INDEX('8oferty s.'!B4:G29,MATCH(12,B4:B29,0),1)</f>
        <v>strzyżowski</v>
      </c>
      <c r="D15" s="6">
        <f>INDEX('8oferty s.'!B4:G29,MATCH(12,B4:B29,0),2)</f>
        <v>8</v>
      </c>
      <c r="E15" s="42">
        <f>INDEX('8oferty s.'!B4:G29,MATCH(12,B4:B29,0),3)</f>
        <v>6</v>
      </c>
      <c r="F15" s="6">
        <f>INDEX('8oferty s.'!B4:G29,MATCH(12,B4:B29,0),4)</f>
        <v>2</v>
      </c>
      <c r="G15" s="42">
        <f>INDEX('8oferty s.'!B4:G29,MATCH(12,B4:B29,0),5)</f>
        <v>14</v>
      </c>
      <c r="H15" s="6">
        <f>INDEX('8oferty s.'!B4:G29,MATCH(12,B4:B29,0),6)</f>
        <v>-6</v>
      </c>
    </row>
    <row r="16" spans="2:8" x14ac:dyDescent="0.2">
      <c r="B16" s="6">
        <f>RANK('8oferty s.'!C16,'8oferty s.'!$C$4:'8oferty s.'!$C$29,1)+COUNTIF('8oferty s.'!$C$4:'8oferty s.'!C16,'8oferty s.'!C16)-1</f>
        <v>6</v>
      </c>
      <c r="C16" s="5" t="str">
        <f>INDEX('8oferty s.'!B4:G29,MATCH(13,B4:B29,0),1)</f>
        <v>dębicki</v>
      </c>
      <c r="D16" s="6">
        <f>INDEX('8oferty s.'!B4:G29,MATCH(13,B4:B29,0),2)</f>
        <v>10</v>
      </c>
      <c r="E16" s="42">
        <f>INDEX('8oferty s.'!B4:G29,MATCH(13,B4:B29,0),3)</f>
        <v>24</v>
      </c>
      <c r="F16" s="6">
        <f>INDEX('8oferty s.'!B4:G29,MATCH(13,B4:B29,0),4)</f>
        <v>-14</v>
      </c>
      <c r="G16" s="42">
        <f>INDEX('8oferty s.'!B4:G29,MATCH(13,B4:B29,0),5)</f>
        <v>18</v>
      </c>
      <c r="H16" s="6">
        <f>INDEX('8oferty s.'!B4:G29,MATCH(13,B4:B29,0),6)</f>
        <v>-8</v>
      </c>
    </row>
    <row r="17" spans="2:8" x14ac:dyDescent="0.2">
      <c r="B17" s="6">
        <f>RANK('8oferty s.'!C17,'8oferty s.'!$C$4:'8oferty s.'!$C$29,1)+COUNTIF('8oferty s.'!$C$4:'8oferty s.'!C17,'8oferty s.'!C17)-1</f>
        <v>7</v>
      </c>
      <c r="C17" s="5" t="str">
        <f>INDEX('8oferty s.'!B4:G29,MATCH(14,B4:B29,0),1)</f>
        <v>leżajski</v>
      </c>
      <c r="D17" s="6">
        <f>INDEX('8oferty s.'!B4:G29,MATCH(14,B4:B29,0),2)</f>
        <v>10</v>
      </c>
      <c r="E17" s="42">
        <f>INDEX('8oferty s.'!B4:G29,MATCH(14,B4:B29,0),3)</f>
        <v>1</v>
      </c>
      <c r="F17" s="6">
        <f>INDEX('8oferty s.'!B4:G29,MATCH(14,B4:B29,0),4)</f>
        <v>9</v>
      </c>
      <c r="G17" s="42">
        <f>INDEX('8oferty s.'!B4:G29,MATCH(14,B4:B29,0),5)</f>
        <v>1</v>
      </c>
      <c r="H17" s="6">
        <f>INDEX('8oferty s.'!B4:G29,MATCH(14,B4:B29,0),6)</f>
        <v>9</v>
      </c>
    </row>
    <row r="18" spans="2:8" x14ac:dyDescent="0.2">
      <c r="B18" s="6">
        <f>RANK('8oferty s.'!C18,'8oferty s.'!$C$4:'8oferty s.'!$C$29,1)+COUNTIF('8oferty s.'!$C$4:'8oferty s.'!C18,'8oferty s.'!C18)-1</f>
        <v>25</v>
      </c>
      <c r="C18" s="5" t="str">
        <f>INDEX('8oferty s.'!B4:G29,MATCH(15,B4:B29,0),1)</f>
        <v>Tarnobrzeg</v>
      </c>
      <c r="D18" s="6">
        <f>INDEX('8oferty s.'!B4:G29,MATCH(15,B4:B29,0),2)</f>
        <v>10</v>
      </c>
      <c r="E18" s="42">
        <f>INDEX('8oferty s.'!B4:G29,MATCH(15,B4:B29,0),3)</f>
        <v>14</v>
      </c>
      <c r="F18" s="6">
        <f>INDEX('8oferty s.'!B4:G29,MATCH(15,B4:B29,0),4)</f>
        <v>-4</v>
      </c>
      <c r="G18" s="42">
        <f>INDEX('8oferty s.'!B4:G29,MATCH(15,B4:B29,0),5)</f>
        <v>12</v>
      </c>
      <c r="H18" s="6">
        <f>INDEX('8oferty s.'!B4:G29,MATCH(15,B4:B29,0),6)</f>
        <v>-2</v>
      </c>
    </row>
    <row r="19" spans="2:8" x14ac:dyDescent="0.2">
      <c r="B19" s="6">
        <f>RANK('8oferty s.'!C19,'8oferty s.'!$C$4:'8oferty s.'!$C$29,1)+COUNTIF('8oferty s.'!$C$4:'8oferty s.'!C19,'8oferty s.'!C19)-1</f>
        <v>3</v>
      </c>
      <c r="C19" s="5" t="str">
        <f>INDEX('8oferty s.'!B4:G29,MATCH(16,B4:B29,0),1)</f>
        <v>jarosławski</v>
      </c>
      <c r="D19" s="6">
        <f>INDEX('8oferty s.'!B4:G29,MATCH(16,B4:B29,0),2)</f>
        <v>13</v>
      </c>
      <c r="E19" s="42">
        <f>INDEX('8oferty s.'!B4:G29,MATCH(16,B4:B29,0),3)</f>
        <v>21</v>
      </c>
      <c r="F19" s="6">
        <f>INDEX('8oferty s.'!B4:G29,MATCH(16,B4:B29,0),4)</f>
        <v>-8</v>
      </c>
      <c r="G19" s="42">
        <f>INDEX('8oferty s.'!B4:G29,MATCH(16,B4:B29,0),5)</f>
        <v>19</v>
      </c>
      <c r="H19" s="6">
        <f>INDEX('8oferty s.'!B4:G29,MATCH(16,B4:B29,0),6)</f>
        <v>-6</v>
      </c>
    </row>
    <row r="20" spans="2:8" x14ac:dyDescent="0.2">
      <c r="B20" s="6">
        <f>RANK('8oferty s.'!C20,'8oferty s.'!$C$4:'8oferty s.'!$C$29,1)+COUNTIF('8oferty s.'!$C$4:'8oferty s.'!C20,'8oferty s.'!C20)-1</f>
        <v>21</v>
      </c>
      <c r="C20" s="5" t="str">
        <f>INDEX('8oferty s.'!B4:G29,MATCH(17,B4:B29,0),1)</f>
        <v>stalowowolski</v>
      </c>
      <c r="D20" s="6">
        <f>INDEX('8oferty s.'!B4:G29,MATCH(17,B4:B29,0),2)</f>
        <v>15</v>
      </c>
      <c r="E20" s="42">
        <f>INDEX('8oferty s.'!B4:G29,MATCH(17,B4:B29,0),3)</f>
        <v>9</v>
      </c>
      <c r="F20" s="6">
        <f>INDEX('8oferty s.'!B4:G29,MATCH(17,B4:B29,0),4)</f>
        <v>6</v>
      </c>
      <c r="G20" s="42">
        <f>INDEX('8oferty s.'!B4:G29,MATCH(17,B4:B29,0),5)</f>
        <v>20</v>
      </c>
      <c r="H20" s="6">
        <f>INDEX('8oferty s.'!B4:G29,MATCH(17,B4:B29,0),6)</f>
        <v>-5</v>
      </c>
    </row>
    <row r="21" spans="2:8" x14ac:dyDescent="0.2">
      <c r="B21" s="6">
        <f>RANK('8oferty s.'!C21,'8oferty s.'!$C$4:'8oferty s.'!$C$29,1)+COUNTIF('8oferty s.'!$C$4:'8oferty s.'!C21,'8oferty s.'!C21)-1</f>
        <v>20</v>
      </c>
      <c r="C21" s="5" t="str">
        <f>INDEX('8oferty s.'!B4:G29,MATCH(18,B4:B29,0),1)</f>
        <v>kolbuszowski</v>
      </c>
      <c r="D21" s="6">
        <f>INDEX('8oferty s.'!B4:G29,MATCH(18,B4:B29,0),2)</f>
        <v>17</v>
      </c>
      <c r="E21" s="42">
        <f>INDEX('8oferty s.'!B4:G29,MATCH(18,B4:B29,0),3)</f>
        <v>17</v>
      </c>
      <c r="F21" s="6">
        <f>INDEX('8oferty s.'!B4:G29,MATCH(18,B4:B29,0),4)</f>
        <v>0</v>
      </c>
      <c r="G21" s="42">
        <f>INDEX('8oferty s.'!B4:G29,MATCH(18,B4:B29,0),5)</f>
        <v>14</v>
      </c>
      <c r="H21" s="6">
        <f>INDEX('8oferty s.'!B4:G29,MATCH(18,B4:B29,0),6)</f>
        <v>3</v>
      </c>
    </row>
    <row r="22" spans="2:8" x14ac:dyDescent="0.2">
      <c r="B22" s="6">
        <f>RANK('8oferty s.'!C22,'8oferty s.'!$C$4:'8oferty s.'!$C$29,1)+COUNTIF('8oferty s.'!$C$4:'8oferty s.'!C22,'8oferty s.'!C22)-1</f>
        <v>17</v>
      </c>
      <c r="C22" s="5" t="str">
        <f>INDEX('8oferty s.'!B4:G29,MATCH(19,B4:B29,0),1)</f>
        <v>brzozowski</v>
      </c>
      <c r="D22" s="6">
        <f>INDEX('8oferty s.'!B4:G29,MATCH(19,B4:B29,0),2)</f>
        <v>18</v>
      </c>
      <c r="E22" s="42">
        <f>INDEX('8oferty s.'!B4:G29,MATCH(19,B4:B29,0),3)</f>
        <v>26</v>
      </c>
      <c r="F22" s="6">
        <f>INDEX('8oferty s.'!B4:G29,MATCH(19,B4:B29,0),4)</f>
        <v>-8</v>
      </c>
      <c r="G22" s="42">
        <f>INDEX('8oferty s.'!B4:G29,MATCH(19,B4:B29,0),5)</f>
        <v>9</v>
      </c>
      <c r="H22" s="6">
        <f>INDEX('8oferty s.'!B4:G29,MATCH(19,B4:B29,0),6)</f>
        <v>9</v>
      </c>
    </row>
    <row r="23" spans="2:8" x14ac:dyDescent="0.2">
      <c r="B23" s="6">
        <f>RANK('8oferty s.'!C23,'8oferty s.'!$C$4:'8oferty s.'!$C$29,1)+COUNTIF('8oferty s.'!$C$4:'8oferty s.'!C23,'8oferty s.'!C23)-1</f>
        <v>12</v>
      </c>
      <c r="C23" s="5" t="str">
        <f>INDEX('8oferty s.'!B4:G29,MATCH(20,B4:B29,0),1)</f>
        <v>sanocki</v>
      </c>
      <c r="D23" s="6">
        <f>INDEX('8oferty s.'!B4:G29,MATCH(20,B4:B29,0),2)</f>
        <v>22</v>
      </c>
      <c r="E23" s="42">
        <f>INDEX('8oferty s.'!B4:G29,MATCH(20,B4:B29,0),3)</f>
        <v>24</v>
      </c>
      <c r="F23" s="6">
        <f>INDEX('8oferty s.'!B4:G29,MATCH(20,B4:B29,0),4)</f>
        <v>-2</v>
      </c>
      <c r="G23" s="42">
        <f>INDEX('8oferty s.'!B4:G29,MATCH(20,B4:B29,0),5)</f>
        <v>12</v>
      </c>
      <c r="H23" s="6">
        <f>INDEX('8oferty s.'!B4:G29,MATCH(20,B4:B29,0),6)</f>
        <v>10</v>
      </c>
    </row>
    <row r="24" spans="2:8" x14ac:dyDescent="0.2">
      <c r="B24" s="6">
        <f>RANK('8oferty s.'!C24,'8oferty s.'!$C$4:'8oferty s.'!$C$29,1)+COUNTIF('8oferty s.'!$C$4:'8oferty s.'!C24,'8oferty s.'!C24)-1</f>
        <v>8</v>
      </c>
      <c r="C24" s="5" t="str">
        <f>INDEX('8oferty s.'!B4:G29,MATCH(21,B4:B29,0),1)</f>
        <v>rzeszowski</v>
      </c>
      <c r="D24" s="6">
        <f>INDEX('8oferty s.'!B4:G29,MATCH(21,B4:B29,0),2)</f>
        <v>25</v>
      </c>
      <c r="E24" s="42">
        <f>INDEX('8oferty s.'!B4:G29,MATCH(21,B4:B29,0),3)</f>
        <v>24</v>
      </c>
      <c r="F24" s="6">
        <f>INDEX('8oferty s.'!B4:G29,MATCH(21,B4:B29,0),4)</f>
        <v>1</v>
      </c>
      <c r="G24" s="42">
        <f>INDEX('8oferty s.'!B4:G29,MATCH(21,B4:B29,0),5)</f>
        <v>18</v>
      </c>
      <c r="H24" s="6">
        <f>INDEX('8oferty s.'!B4:G29,MATCH(21,B4:B29,0),6)</f>
        <v>7</v>
      </c>
    </row>
    <row r="25" spans="2:8" x14ac:dyDescent="0.2">
      <c r="B25" s="6">
        <f>RANK('8oferty s.'!C25,'8oferty s.'!$C$4:'8oferty s.'!$C$29,1)+COUNTIF('8oferty s.'!$C$4:'8oferty s.'!C25,'8oferty s.'!C25)-1</f>
        <v>10</v>
      </c>
      <c r="C25" s="5" t="str">
        <f>INDEX('8oferty s.'!B4:G29,MATCH(22,B4:B29,0),1)</f>
        <v>jasielski</v>
      </c>
      <c r="D25" s="6">
        <f>INDEX('8oferty s.'!B4:G29,MATCH(22,B4:B29,0),2)</f>
        <v>31</v>
      </c>
      <c r="E25" s="42">
        <f>INDEX('8oferty s.'!B4:G29,MATCH(22,B4:B29,0),3)</f>
        <v>44</v>
      </c>
      <c r="F25" s="6">
        <f>INDEX('8oferty s.'!B4:G29,MATCH(22,B4:B29,0),4)</f>
        <v>-13</v>
      </c>
      <c r="G25" s="42">
        <f>INDEX('8oferty s.'!B4:G29,MATCH(22,B4:B29,0),5)</f>
        <v>24</v>
      </c>
      <c r="H25" s="6">
        <f>INDEX('8oferty s.'!B4:G29,MATCH(22,B4:B29,0),6)</f>
        <v>7</v>
      </c>
    </row>
    <row r="26" spans="2:8" x14ac:dyDescent="0.2">
      <c r="B26" s="6">
        <f>RANK('8oferty s.'!C26,'8oferty s.'!$C$4:'8oferty s.'!$C$29,1)+COUNTIF('8oferty s.'!$C$4:'8oferty s.'!C26,'8oferty s.'!C26)-1</f>
        <v>11</v>
      </c>
      <c r="C26" s="5" t="str">
        <f>INDEX('8oferty s.'!B4:G29,MATCH(23,B4:B29,0),1)</f>
        <v>mielecki</v>
      </c>
      <c r="D26" s="6">
        <f>INDEX('8oferty s.'!B4:G29,MATCH(23,B4:B29,0),2)</f>
        <v>34</v>
      </c>
      <c r="E26" s="42">
        <f>INDEX('8oferty s.'!B4:G29,MATCH(23,B4:B29,0),3)</f>
        <v>29</v>
      </c>
      <c r="F26" s="6">
        <f>INDEX('8oferty s.'!B4:G29,MATCH(23,B4:B29,0),4)</f>
        <v>5</v>
      </c>
      <c r="G26" s="42">
        <f>INDEX('8oferty s.'!B4:G29,MATCH(23,B4:B29,0),5)</f>
        <v>11</v>
      </c>
      <c r="H26" s="6">
        <f>INDEX('8oferty s.'!B4:G29,MATCH(23,B4:B29,0),6)</f>
        <v>23</v>
      </c>
    </row>
    <row r="27" spans="2:8" x14ac:dyDescent="0.2">
      <c r="B27" s="6">
        <f>RANK('8oferty s.'!C27,'8oferty s.'!$C$4:'8oferty s.'!$C$29,1)+COUNTIF('8oferty s.'!$C$4:'8oferty s.'!C27,'8oferty s.'!C27)-1</f>
        <v>24</v>
      </c>
      <c r="C27" s="5" t="str">
        <f>INDEX('8oferty s.'!B4:G29,MATCH(24,B4:B29,0),1)</f>
        <v>Rzeszów</v>
      </c>
      <c r="D27" s="6">
        <f>INDEX('8oferty s.'!B4:G29,MATCH(24,B4:B29,0),2)</f>
        <v>41</v>
      </c>
      <c r="E27" s="42">
        <f>INDEX('8oferty s.'!B4:G29,MATCH(24,B4:B29,0),3)</f>
        <v>46</v>
      </c>
      <c r="F27" s="6">
        <f>INDEX('8oferty s.'!B4:G29,MATCH(24,B4:B29,0),4)</f>
        <v>-5</v>
      </c>
      <c r="G27" s="42">
        <f>INDEX('8oferty s.'!B4:G29,MATCH(24,B4:B29,0),5)</f>
        <v>25</v>
      </c>
      <c r="H27" s="6">
        <f>INDEX('8oferty s.'!B4:G29,MATCH(24,B4:B29,0),6)</f>
        <v>16</v>
      </c>
    </row>
    <row r="28" spans="2:8" x14ac:dyDescent="0.2">
      <c r="B28" s="6">
        <f>RANK('8oferty s.'!C28,'8oferty s.'!$C$4:'8oferty s.'!$C$29,1)+COUNTIF('8oferty s.'!$C$4:'8oferty s.'!C28,'8oferty s.'!C28)-1</f>
        <v>15</v>
      </c>
      <c r="C28" s="5" t="str">
        <f>INDEX('8oferty s.'!B4:G29,MATCH(25,B4:B29,0),1)</f>
        <v>przeworski</v>
      </c>
      <c r="D28" s="6">
        <f>INDEX('8oferty s.'!B4:G29,MATCH(25,B4:B29,0),2)</f>
        <v>48</v>
      </c>
      <c r="E28" s="42">
        <f>INDEX('8oferty s.'!B4:G29,MATCH(25,B4:B29,0),3)</f>
        <v>97</v>
      </c>
      <c r="F28" s="6">
        <f>INDEX('8oferty s.'!B4:G29,MATCH(25,B4:B29,0),4)</f>
        <v>-49</v>
      </c>
      <c r="G28" s="42">
        <f>INDEX('8oferty s.'!B4:G29,MATCH(25,B4:B29,0),5)</f>
        <v>42</v>
      </c>
      <c r="H28" s="6">
        <f>INDEX('8oferty s.'!B4:G29,MATCH(25,B4:B29,0),6)</f>
        <v>6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342</v>
      </c>
      <c r="E29" s="44">
        <f>INDEX('8oferty s.'!B4:G29,MATCH(26,B4:B29,0),3)</f>
        <v>486</v>
      </c>
      <c r="F29" s="40">
        <f>INDEX('8oferty s.'!B4:G29,MATCH(26,B4:B29,0),4)</f>
        <v>-144</v>
      </c>
      <c r="G29" s="44">
        <f>INDEX('8oferty s.'!B4:G29,MATCH(26,B4:B29,0),5)</f>
        <v>293</v>
      </c>
      <c r="H29" s="40">
        <f>INDEX('8oferty s.'!B4:G29,MATCH(26,B4:B29,0),6)</f>
        <v>49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theme="9" tint="0.79998168889431442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70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71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93</v>
      </c>
      <c r="D3" s="38" t="s">
        <v>75</v>
      </c>
      <c r="E3" s="37" t="s">
        <v>28</v>
      </c>
      <c r="F3" s="38" t="s">
        <v>94</v>
      </c>
      <c r="G3" s="37" t="s">
        <v>26</v>
      </c>
    </row>
    <row r="4" spans="2:11" x14ac:dyDescent="0.2">
      <c r="B4" s="5" t="s">
        <v>0</v>
      </c>
      <c r="C4" s="28">
        <v>7</v>
      </c>
      <c r="D4" s="42">
        <v>12</v>
      </c>
      <c r="E4" s="28">
        <f t="shared" ref="E4:E28" si="0">SUM(C4)-D4</f>
        <v>-5</v>
      </c>
      <c r="F4" s="42">
        <v>20</v>
      </c>
      <c r="G4" s="28">
        <f t="shared" ref="G4:G28" si="1">SUM(C4)-F4</f>
        <v>-13</v>
      </c>
      <c r="H4" s="7"/>
    </row>
    <row r="5" spans="2:11" x14ac:dyDescent="0.2">
      <c r="B5" s="5" t="s">
        <v>1</v>
      </c>
      <c r="C5" s="28">
        <v>1</v>
      </c>
      <c r="D5" s="42">
        <v>2</v>
      </c>
      <c r="E5" s="28">
        <f t="shared" si="0"/>
        <v>-1</v>
      </c>
      <c r="F5" s="42">
        <v>5</v>
      </c>
      <c r="G5" s="28">
        <f t="shared" si="1"/>
        <v>-4</v>
      </c>
      <c r="H5" s="7"/>
    </row>
    <row r="6" spans="2:11" x14ac:dyDescent="0.2">
      <c r="B6" s="5" t="s">
        <v>2</v>
      </c>
      <c r="C6" s="28">
        <v>74</v>
      </c>
      <c r="D6" s="42">
        <v>131</v>
      </c>
      <c r="E6" s="28">
        <f t="shared" si="0"/>
        <v>-57</v>
      </c>
      <c r="F6" s="42">
        <v>113</v>
      </c>
      <c r="G6" s="28">
        <f t="shared" si="1"/>
        <v>-39</v>
      </c>
      <c r="H6" s="7"/>
    </row>
    <row r="7" spans="2:11" x14ac:dyDescent="0.2">
      <c r="B7" s="5" t="s">
        <v>3</v>
      </c>
      <c r="C7" s="28">
        <v>27</v>
      </c>
      <c r="D7" s="42">
        <v>29</v>
      </c>
      <c r="E7" s="28">
        <f t="shared" si="0"/>
        <v>-2</v>
      </c>
      <c r="F7" s="42">
        <v>20</v>
      </c>
      <c r="G7" s="28">
        <f t="shared" si="1"/>
        <v>7</v>
      </c>
      <c r="H7" s="7"/>
    </row>
    <row r="8" spans="2:11" x14ac:dyDescent="0.2">
      <c r="B8" s="5" t="s">
        <v>4</v>
      </c>
      <c r="C8" s="28">
        <v>105</v>
      </c>
      <c r="D8" s="42">
        <v>27</v>
      </c>
      <c r="E8" s="28">
        <f t="shared" si="0"/>
        <v>78</v>
      </c>
      <c r="F8" s="42">
        <v>105</v>
      </c>
      <c r="G8" s="28">
        <f t="shared" si="1"/>
        <v>0</v>
      </c>
      <c r="H8" s="7"/>
    </row>
    <row r="9" spans="2:11" x14ac:dyDescent="0.2">
      <c r="B9" s="5" t="s">
        <v>5</v>
      </c>
      <c r="C9" s="28">
        <v>35</v>
      </c>
      <c r="D9" s="42">
        <v>50</v>
      </c>
      <c r="E9" s="28">
        <f t="shared" si="0"/>
        <v>-15</v>
      </c>
      <c r="F9" s="42">
        <v>25</v>
      </c>
      <c r="G9" s="28">
        <f t="shared" si="1"/>
        <v>10</v>
      </c>
      <c r="H9" s="7"/>
    </row>
    <row r="10" spans="2:11" x14ac:dyDescent="0.2">
      <c r="B10" s="9" t="s">
        <v>6</v>
      </c>
      <c r="C10" s="28">
        <v>52</v>
      </c>
      <c r="D10" s="42">
        <v>64</v>
      </c>
      <c r="E10" s="28">
        <f t="shared" si="0"/>
        <v>-12</v>
      </c>
      <c r="F10" s="42">
        <v>49</v>
      </c>
      <c r="G10" s="28">
        <f t="shared" si="1"/>
        <v>3</v>
      </c>
      <c r="H10" s="7"/>
    </row>
    <row r="11" spans="2:11" x14ac:dyDescent="0.2">
      <c r="B11" s="5" t="s">
        <v>7</v>
      </c>
      <c r="C11" s="28">
        <v>28</v>
      </c>
      <c r="D11" s="42">
        <v>12</v>
      </c>
      <c r="E11" s="28">
        <f t="shared" si="0"/>
        <v>16</v>
      </c>
      <c r="F11" s="42">
        <v>12</v>
      </c>
      <c r="G11" s="28">
        <f t="shared" si="1"/>
        <v>16</v>
      </c>
      <c r="H11" s="7"/>
    </row>
    <row r="12" spans="2:11" x14ac:dyDescent="0.2">
      <c r="B12" s="5" t="s">
        <v>8</v>
      </c>
      <c r="C12" s="28">
        <v>36</v>
      </c>
      <c r="D12" s="42">
        <v>58</v>
      </c>
      <c r="E12" s="28">
        <f t="shared" si="0"/>
        <v>-22</v>
      </c>
      <c r="F12" s="42">
        <v>36</v>
      </c>
      <c r="G12" s="28">
        <f t="shared" si="1"/>
        <v>0</v>
      </c>
      <c r="H12" s="7"/>
    </row>
    <row r="13" spans="2:11" x14ac:dyDescent="0.2">
      <c r="B13" s="5" t="s">
        <v>9</v>
      </c>
      <c r="C13" s="28">
        <v>13</v>
      </c>
      <c r="D13" s="42">
        <v>8</v>
      </c>
      <c r="E13" s="28">
        <f t="shared" si="0"/>
        <v>5</v>
      </c>
      <c r="F13" s="42">
        <v>9</v>
      </c>
      <c r="G13" s="28">
        <f t="shared" si="1"/>
        <v>4</v>
      </c>
      <c r="H13" s="7"/>
    </row>
    <row r="14" spans="2:11" x14ac:dyDescent="0.2">
      <c r="B14" s="5" t="s">
        <v>10</v>
      </c>
      <c r="C14" s="28">
        <v>27</v>
      </c>
      <c r="D14" s="42">
        <v>24</v>
      </c>
      <c r="E14" s="28">
        <f t="shared" si="0"/>
        <v>3</v>
      </c>
      <c r="F14" s="42">
        <v>25</v>
      </c>
      <c r="G14" s="28">
        <f t="shared" si="1"/>
        <v>2</v>
      </c>
      <c r="H14" s="7"/>
    </row>
    <row r="15" spans="2:11" x14ac:dyDescent="0.2">
      <c r="B15" s="5" t="s">
        <v>11</v>
      </c>
      <c r="C15" s="28">
        <v>243</v>
      </c>
      <c r="D15" s="42">
        <v>328</v>
      </c>
      <c r="E15" s="28">
        <f t="shared" si="0"/>
        <v>-85</v>
      </c>
      <c r="F15" s="42">
        <v>243</v>
      </c>
      <c r="G15" s="28">
        <f t="shared" si="1"/>
        <v>0</v>
      </c>
      <c r="H15" s="7"/>
    </row>
    <row r="16" spans="2:11" x14ac:dyDescent="0.2">
      <c r="B16" s="5" t="s">
        <v>12</v>
      </c>
      <c r="C16" s="28">
        <v>42</v>
      </c>
      <c r="D16" s="42">
        <v>58</v>
      </c>
      <c r="E16" s="28">
        <f t="shared" si="0"/>
        <v>-16</v>
      </c>
      <c r="F16" s="42">
        <v>58</v>
      </c>
      <c r="G16" s="28">
        <f t="shared" si="1"/>
        <v>-16</v>
      </c>
      <c r="H16" s="7"/>
    </row>
    <row r="17" spans="2:8" x14ac:dyDescent="0.2">
      <c r="B17" s="5" t="s">
        <v>13</v>
      </c>
      <c r="C17" s="28">
        <v>0</v>
      </c>
      <c r="D17" s="42">
        <v>4</v>
      </c>
      <c r="E17" s="28">
        <f t="shared" si="0"/>
        <v>-4</v>
      </c>
      <c r="F17" s="42">
        <v>2</v>
      </c>
      <c r="G17" s="28">
        <f t="shared" si="1"/>
        <v>-2</v>
      </c>
      <c r="H17" s="7"/>
    </row>
    <row r="18" spans="2:8" x14ac:dyDescent="0.2">
      <c r="B18" s="5" t="s">
        <v>14</v>
      </c>
      <c r="C18" s="28">
        <v>122</v>
      </c>
      <c r="D18" s="42">
        <v>123</v>
      </c>
      <c r="E18" s="28">
        <f t="shared" si="0"/>
        <v>-1</v>
      </c>
      <c r="F18" s="42">
        <v>66</v>
      </c>
      <c r="G18" s="28">
        <f t="shared" si="1"/>
        <v>56</v>
      </c>
      <c r="H18" s="7"/>
    </row>
    <row r="19" spans="2:8" x14ac:dyDescent="0.2">
      <c r="B19" s="5" t="s">
        <v>15</v>
      </c>
      <c r="C19" s="28">
        <v>17</v>
      </c>
      <c r="D19" s="42">
        <v>34</v>
      </c>
      <c r="E19" s="28">
        <f t="shared" si="0"/>
        <v>-17</v>
      </c>
      <c r="F19" s="42">
        <v>43</v>
      </c>
      <c r="G19" s="28">
        <f t="shared" si="1"/>
        <v>-26</v>
      </c>
      <c r="H19" s="7"/>
    </row>
    <row r="20" spans="2:8" x14ac:dyDescent="0.2">
      <c r="B20" s="5" t="s">
        <v>16</v>
      </c>
      <c r="C20" s="28">
        <v>17</v>
      </c>
      <c r="D20" s="42">
        <v>52</v>
      </c>
      <c r="E20" s="28">
        <f t="shared" si="0"/>
        <v>-35</v>
      </c>
      <c r="F20" s="42">
        <v>45</v>
      </c>
      <c r="G20" s="28">
        <f t="shared" si="1"/>
        <v>-28</v>
      </c>
      <c r="H20" s="7"/>
    </row>
    <row r="21" spans="2:8" x14ac:dyDescent="0.2">
      <c r="B21" s="5" t="s">
        <v>17</v>
      </c>
      <c r="C21" s="28">
        <v>26</v>
      </c>
      <c r="D21" s="42">
        <v>28</v>
      </c>
      <c r="E21" s="28">
        <f t="shared" si="0"/>
        <v>-2</v>
      </c>
      <c r="F21" s="42">
        <v>119</v>
      </c>
      <c r="G21" s="28">
        <f t="shared" si="1"/>
        <v>-93</v>
      </c>
      <c r="H21" s="7"/>
    </row>
    <row r="22" spans="2:8" x14ac:dyDescent="0.2">
      <c r="B22" s="5" t="s">
        <v>18</v>
      </c>
      <c r="C22" s="28">
        <v>27</v>
      </c>
      <c r="D22" s="42">
        <v>28</v>
      </c>
      <c r="E22" s="28">
        <f t="shared" si="0"/>
        <v>-1</v>
      </c>
      <c r="F22" s="42">
        <v>29</v>
      </c>
      <c r="G22" s="28">
        <f t="shared" si="1"/>
        <v>-2</v>
      </c>
      <c r="H22" s="7"/>
    </row>
    <row r="23" spans="2:8" x14ac:dyDescent="0.2">
      <c r="B23" s="5" t="s">
        <v>19</v>
      </c>
      <c r="C23" s="28">
        <v>8</v>
      </c>
      <c r="D23" s="42">
        <v>23</v>
      </c>
      <c r="E23" s="28">
        <f t="shared" si="0"/>
        <v>-15</v>
      </c>
      <c r="F23" s="42">
        <v>25</v>
      </c>
      <c r="G23" s="28">
        <f t="shared" si="1"/>
        <v>-17</v>
      </c>
      <c r="H23" s="7"/>
    </row>
    <row r="24" spans="2:8" x14ac:dyDescent="0.2">
      <c r="B24" s="5" t="s">
        <v>20</v>
      </c>
      <c r="C24" s="28">
        <v>43</v>
      </c>
      <c r="D24" s="42">
        <v>22</v>
      </c>
      <c r="E24" s="28">
        <f t="shared" si="0"/>
        <v>21</v>
      </c>
      <c r="F24" s="42">
        <v>78</v>
      </c>
      <c r="G24" s="28">
        <f t="shared" si="1"/>
        <v>-35</v>
      </c>
      <c r="H24" s="7"/>
    </row>
    <row r="25" spans="2:8" x14ac:dyDescent="0.2">
      <c r="B25" s="5" t="s">
        <v>21</v>
      </c>
      <c r="C25" s="28">
        <v>28</v>
      </c>
      <c r="D25" s="42">
        <v>86</v>
      </c>
      <c r="E25" s="28">
        <f t="shared" si="0"/>
        <v>-58</v>
      </c>
      <c r="F25" s="42">
        <v>19</v>
      </c>
      <c r="G25" s="28">
        <f t="shared" si="1"/>
        <v>9</v>
      </c>
      <c r="H25" s="7"/>
    </row>
    <row r="26" spans="2:8" x14ac:dyDescent="0.2">
      <c r="B26" s="5" t="s">
        <v>22</v>
      </c>
      <c r="C26" s="28">
        <v>8</v>
      </c>
      <c r="D26" s="42">
        <v>9</v>
      </c>
      <c r="E26" s="28">
        <f t="shared" si="0"/>
        <v>-1</v>
      </c>
      <c r="F26" s="42">
        <v>16</v>
      </c>
      <c r="G26" s="28">
        <f t="shared" si="1"/>
        <v>-8</v>
      </c>
      <c r="H26" s="7"/>
    </row>
    <row r="27" spans="2:8" x14ac:dyDescent="0.2">
      <c r="B27" s="5" t="s">
        <v>23</v>
      </c>
      <c r="C27" s="28">
        <v>135</v>
      </c>
      <c r="D27" s="42">
        <v>202</v>
      </c>
      <c r="E27" s="28">
        <f t="shared" si="0"/>
        <v>-67</v>
      </c>
      <c r="F27" s="42">
        <v>347</v>
      </c>
      <c r="G27" s="28">
        <f t="shared" si="1"/>
        <v>-212</v>
      </c>
      <c r="H27" s="7"/>
    </row>
    <row r="28" spans="2:8" x14ac:dyDescent="0.2">
      <c r="B28" s="5" t="s">
        <v>24</v>
      </c>
      <c r="C28" s="28">
        <v>23</v>
      </c>
      <c r="D28" s="42">
        <v>32</v>
      </c>
      <c r="E28" s="28">
        <f t="shared" si="0"/>
        <v>-9</v>
      </c>
      <c r="F28" s="42">
        <v>31</v>
      </c>
      <c r="G28" s="28">
        <f t="shared" si="1"/>
        <v>-8</v>
      </c>
      <c r="H28" s="7"/>
    </row>
    <row r="29" spans="2:8" ht="15" x14ac:dyDescent="0.25">
      <c r="B29" s="39" t="s">
        <v>25</v>
      </c>
      <c r="C29" s="48">
        <f>SUM(C4:C28)</f>
        <v>1144</v>
      </c>
      <c r="D29" s="44">
        <f>SUM(D4:D28)</f>
        <v>1446</v>
      </c>
      <c r="E29" s="48">
        <f>SUM(E4:E28)</f>
        <v>-302</v>
      </c>
      <c r="F29" s="44">
        <f>SUM(F4:F28)</f>
        <v>1540</v>
      </c>
      <c r="G29" s="48">
        <f>SUM(G4:G28)</f>
        <v>-396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69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12-'24 r.</v>
      </c>
      <c r="E3" s="36" t="str">
        <f>T('8oferty s.'!D3)</f>
        <v>liczba ofert w 11-'24 r.</v>
      </c>
      <c r="F3" s="36" t="str">
        <f>T('8oferty s.'!E3)</f>
        <v>wzrost/spadek do poprzedniego  miesiąca</v>
      </c>
      <c r="G3" s="36" t="str">
        <f>T('8oferty s.'!F3)</f>
        <v>liczba ofert w 12-'23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3</v>
      </c>
      <c r="C4" s="5" t="str">
        <f>INDEX('9of st. k.'!B4:G29,MATCH(1,B4:B29,0),1)</f>
        <v>przemyski</v>
      </c>
      <c r="D4" s="24">
        <f>INDEX('9of st. k.'!B4:G29,MATCH(1,B4:B29,0),2)</f>
        <v>0</v>
      </c>
      <c r="E4" s="42">
        <f>INDEX('9of st. k.'!B4:G29,MATCH(1,B4:B29,0),3)</f>
        <v>4</v>
      </c>
      <c r="F4" s="6">
        <f>INDEX('9of st. k.'!B4:G29,MATCH(1,B4:B29,0),4)</f>
        <v>-4</v>
      </c>
      <c r="G4" s="42">
        <f>INDEX('9of st. k.'!B4:G29,MATCH(1,B4:B29,0),5)</f>
        <v>2</v>
      </c>
      <c r="H4" s="6">
        <f>INDEX('9of st. k.'!B4:G29,MATCH(1,B4:B29,0),6)</f>
        <v>-2</v>
      </c>
    </row>
    <row r="5" spans="2:8" x14ac:dyDescent="0.2">
      <c r="B5" s="6">
        <f>RANK('9of st. k.'!C5,'9of st. k.'!$C$4:'9of st. k.'!$C$29,1)+COUNTIF('9of st. k.'!$C$4:'9of st. k.'!C5,'9of st. k.'!C5)-1</f>
        <v>2</v>
      </c>
      <c r="C5" s="5" t="str">
        <f>INDEX('9of st. k.'!B4:G29,MATCH(2,B4:B29,0),1)</f>
        <v>brzozowski</v>
      </c>
      <c r="D5" s="6">
        <f>INDEX('9of st. k.'!B4:G29,MATCH(2,B4:B29,0),2)</f>
        <v>1</v>
      </c>
      <c r="E5" s="42">
        <f>INDEX('9of st. k.'!B4:G29,MATCH(2,B4:B29,0),3)</f>
        <v>2</v>
      </c>
      <c r="F5" s="6">
        <f>INDEX('9of st. k.'!B4:G29,MATCH(2,B4:B29,0),4)</f>
        <v>-1</v>
      </c>
      <c r="G5" s="42">
        <f>INDEX('9of st. k.'!B4:G29,MATCH(2,B4:B29,0),5)</f>
        <v>5</v>
      </c>
      <c r="H5" s="6">
        <f>INDEX('9of st. k.'!B4:G29,MATCH(2,B4:B29,0),6)</f>
        <v>-4</v>
      </c>
    </row>
    <row r="6" spans="2:8" x14ac:dyDescent="0.2">
      <c r="B6" s="6">
        <f>RANK('9of st. k.'!C6,'9of st. k.'!$C$4:'9of st. k.'!$C$29,1)+COUNTIF('9of st. k.'!$C$4:'9of st. k.'!C6,'9of st. k.'!C6)-1</f>
        <v>21</v>
      </c>
      <c r="C6" s="5" t="str">
        <f>INDEX('9of st. k.'!B4:G29,MATCH(3,B4:B29,0),1)</f>
        <v>bieszczadzki</v>
      </c>
      <c r="D6" s="6">
        <f>INDEX('9of st. k.'!B4:G29,MATCH(3,B4:B29,0),2)</f>
        <v>7</v>
      </c>
      <c r="E6" s="42">
        <f>INDEX('9of st. k.'!B4:G29,MATCH(3,B4:B29,0),3)</f>
        <v>12</v>
      </c>
      <c r="F6" s="6">
        <f>INDEX('9of st. k.'!B4:G29,MATCH(3,B4:B29,0),4)</f>
        <v>-5</v>
      </c>
      <c r="G6" s="42">
        <f>INDEX('9of st. k.'!B4:G29,MATCH(3,B4:B29,0),5)</f>
        <v>20</v>
      </c>
      <c r="H6" s="6">
        <f>INDEX('9of st. k.'!B4:G29,MATCH(3,B4:B29,0),6)</f>
        <v>-13</v>
      </c>
    </row>
    <row r="7" spans="2:8" x14ac:dyDescent="0.2">
      <c r="B7" s="6">
        <f>RANK('9of st. k.'!C7,'9of st. k.'!$C$4:'9of st. k.'!$C$29,1)+COUNTIF('9of st. k.'!$C$4:'9of st. k.'!C7,'9of st. k.'!C7)-1</f>
        <v>11</v>
      </c>
      <c r="C7" s="5" t="str">
        <f>INDEX('9of st. k.'!B4:G29,MATCH(4,B4:B29,0),1)</f>
        <v>strzyżowski</v>
      </c>
      <c r="D7" s="6">
        <f>INDEX('9of st. k.'!B4:G29,MATCH(4,B4:B29,0),2)</f>
        <v>8</v>
      </c>
      <c r="E7" s="42">
        <f>INDEX('9of st. k.'!B4:G29,MATCH(4,B4:B29,0),3)</f>
        <v>23</v>
      </c>
      <c r="F7" s="6">
        <f>INDEX('9of st. k.'!B4:G29,MATCH(4,B4:B29,0),4)</f>
        <v>-15</v>
      </c>
      <c r="G7" s="42">
        <f>INDEX('9of st. k.'!B4:G29,MATCH(4,B4:B29,0),5)</f>
        <v>25</v>
      </c>
      <c r="H7" s="6">
        <f>INDEX('9of st. k.'!B4:G29,MATCH(4,B4:B29,0),6)</f>
        <v>-17</v>
      </c>
    </row>
    <row r="8" spans="2:8" x14ac:dyDescent="0.2">
      <c r="B8" s="6">
        <f>RANK('9of st. k.'!C8,'9of st. k.'!$C$4:'9of st. k.'!$C$29,1)+COUNTIF('9of st. k.'!$C$4:'9of st. k.'!C8,'9of st. k.'!C8)-1</f>
        <v>22</v>
      </c>
      <c r="C8" s="5" t="str">
        <f>INDEX('9of st. k.'!B4:G29,MATCH(5,B4:B29,0),1)</f>
        <v>Przemyśl</v>
      </c>
      <c r="D8" s="6">
        <f>INDEX('9of st. k.'!B4:G29,MATCH(5,B4:B29,0),2)</f>
        <v>8</v>
      </c>
      <c r="E8" s="42">
        <f>INDEX('9of st. k.'!B4:G29,MATCH(5,B4:B29,0),3)</f>
        <v>9</v>
      </c>
      <c r="F8" s="6">
        <f>INDEX('9of st. k.'!B4:G29,MATCH(5,B4:B29,0),4)</f>
        <v>-1</v>
      </c>
      <c r="G8" s="42">
        <f>INDEX('9of st. k.'!B4:G29,MATCH(5,B4:B29,0),5)</f>
        <v>16</v>
      </c>
      <c r="H8" s="6">
        <f>INDEX('9of st. k.'!B4:G29,MATCH(5,B4:B29,0),6)</f>
        <v>-8</v>
      </c>
    </row>
    <row r="9" spans="2:8" x14ac:dyDescent="0.2">
      <c r="B9" s="6">
        <f>RANK('9of st. k.'!C9,'9of st. k.'!$C$4:'9of st. k.'!$C$29,1)+COUNTIF('9of st. k.'!$C$4:'9of st. k.'!C9,'9of st. k.'!C9)-1</f>
        <v>16</v>
      </c>
      <c r="C9" s="5" t="str">
        <f>INDEX('9of st. k.'!B4:G29,MATCH(6,B4:B29,0),1)</f>
        <v>lubaczowski</v>
      </c>
      <c r="D9" s="6">
        <f>INDEX('9of st. k.'!B4:G29,MATCH(6,B4:B29,0),2)</f>
        <v>13</v>
      </c>
      <c r="E9" s="42">
        <f>INDEX('9of st. k.'!B4:G29,MATCH(6,B4:B29,0),3)</f>
        <v>8</v>
      </c>
      <c r="F9" s="6">
        <f>INDEX('9of st. k.'!B4:G29,MATCH(6,B4:B29,0),4)</f>
        <v>5</v>
      </c>
      <c r="G9" s="42">
        <f>INDEX('9of st. k.'!B4:G29,MATCH(6,B4:B29,0),5)</f>
        <v>9</v>
      </c>
      <c r="H9" s="6">
        <f>INDEX('9of st. k.'!B4:G29,MATCH(6,B4:B29,0),6)</f>
        <v>4</v>
      </c>
    </row>
    <row r="10" spans="2:8" x14ac:dyDescent="0.2">
      <c r="B10" s="6">
        <f>RANK('9of st. k.'!C10,'9of st. k.'!$C$4:'9of st. k.'!$C$29,1)+COUNTIF('9of st. k.'!$C$4:'9of st. k.'!C10,'9of st. k.'!C10)-1</f>
        <v>20</v>
      </c>
      <c r="C10" s="9" t="str">
        <f>INDEX('9of st. k.'!B4:G29,MATCH(7,B4:B29,0),1)</f>
        <v>ropczycko-sędziszowski</v>
      </c>
      <c r="D10" s="6">
        <f>INDEX('9of st. k.'!B4:G29,MATCH(7,B4:B29,0),2)</f>
        <v>17</v>
      </c>
      <c r="E10" s="42">
        <f>INDEX('9of st. k.'!B4:G29,MATCH(7,B4:B29,0),3)</f>
        <v>34</v>
      </c>
      <c r="F10" s="6">
        <f>INDEX('9of st. k.'!B4:G29,MATCH(7,B4:B29,0),4)</f>
        <v>-17</v>
      </c>
      <c r="G10" s="42">
        <f>INDEX('9of st. k.'!B4:G29,MATCH(7,B4:B29,0),5)</f>
        <v>43</v>
      </c>
      <c r="H10" s="6">
        <f>INDEX('9of st. k.'!B4:G29,MATCH(7,B4:B29,0),6)</f>
        <v>-26</v>
      </c>
    </row>
    <row r="11" spans="2:8" x14ac:dyDescent="0.2">
      <c r="B11" s="6">
        <f>RANK('9of st. k.'!C11,'9of st. k.'!$C$4:'9of st. k.'!$C$29,1)+COUNTIF('9of st. k.'!$C$4:'9of st. k.'!C11,'9of st. k.'!C11)-1</f>
        <v>14</v>
      </c>
      <c r="C11" s="5" t="str">
        <f>INDEX('9of st. k.'!B4:G29,MATCH(8,B4:B29,0),1)</f>
        <v>rzeszowski</v>
      </c>
      <c r="D11" s="6">
        <f>INDEX('9of st. k.'!B4:G29,MATCH(8,B4:B29,0),2)</f>
        <v>17</v>
      </c>
      <c r="E11" s="42">
        <f>INDEX('9of st. k.'!B4:G29,MATCH(8,B4:B29,0),3)</f>
        <v>52</v>
      </c>
      <c r="F11" s="6">
        <f>INDEX('9of st. k.'!B4:G29,MATCH(8,B4:B29,0),4)</f>
        <v>-35</v>
      </c>
      <c r="G11" s="42">
        <f>INDEX('9of st. k.'!B4:G29,MATCH(8,B4:B29,0),5)</f>
        <v>45</v>
      </c>
      <c r="H11" s="6">
        <f>INDEX('9of st. k.'!B4:G29,MATCH(8,B4:B29,0),6)</f>
        <v>-28</v>
      </c>
    </row>
    <row r="12" spans="2:8" x14ac:dyDescent="0.2">
      <c r="B12" s="6">
        <f>RANK('9of st. k.'!C12,'9of st. k.'!$C$4:'9of st. k.'!$C$29,1)+COUNTIF('9of st. k.'!$C$4:'9of st. k.'!C12,'9of st. k.'!C12)-1</f>
        <v>17</v>
      </c>
      <c r="C12" s="5" t="str">
        <f>INDEX('9of st. k.'!B4:G29,MATCH(9,B4:B29,0),1)</f>
        <v>Tarnobrzeg</v>
      </c>
      <c r="D12" s="6">
        <f>INDEX('9of st. k.'!B4:G29,MATCH(9,B4:B29,0),2)</f>
        <v>23</v>
      </c>
      <c r="E12" s="42">
        <f>INDEX('9of st. k.'!B4:G29,MATCH(9,B4:B29,0),3)</f>
        <v>32</v>
      </c>
      <c r="F12" s="6">
        <f>INDEX('9of st. k.'!B4:G29,MATCH(9,B4:B29,0),4)</f>
        <v>-9</v>
      </c>
      <c r="G12" s="42">
        <f>INDEX('9of st. k.'!B4:G29,MATCH(9,B4:B29,0),5)</f>
        <v>31</v>
      </c>
      <c r="H12" s="6">
        <f>INDEX('9of st. k.'!B4:G29,MATCH(9,B4:B29,0),6)</f>
        <v>-8</v>
      </c>
    </row>
    <row r="13" spans="2:8" x14ac:dyDescent="0.2">
      <c r="B13" s="6">
        <f>RANK('9of st. k.'!C13,'9of st. k.'!$C$4:'9of st. k.'!$C$29,1)+COUNTIF('9of st. k.'!$C$4:'9of st. k.'!C13,'9of st. k.'!C13)-1</f>
        <v>6</v>
      </c>
      <c r="C13" s="5" t="str">
        <f>INDEX('9of st. k.'!B4:G29,MATCH(10,B4:B29,0),1)</f>
        <v>sanocki</v>
      </c>
      <c r="D13" s="6">
        <f>INDEX('9of st. k.'!B4:G29,MATCH(10,B4:B29,0),2)</f>
        <v>26</v>
      </c>
      <c r="E13" s="42">
        <f>INDEX('9of st. k.'!B4:G29,MATCH(10,B4:B29,0),3)</f>
        <v>28</v>
      </c>
      <c r="F13" s="6">
        <f>INDEX('9of st. k.'!B4:G29,MATCH(10,B4:B29,0),4)</f>
        <v>-2</v>
      </c>
      <c r="G13" s="42">
        <f>INDEX('9of st. k.'!B4:G29,MATCH(10,B4:B29,0),5)</f>
        <v>119</v>
      </c>
      <c r="H13" s="6">
        <f>INDEX('9of st. k.'!B4:G29,MATCH(10,B4:B29,0),6)</f>
        <v>-93</v>
      </c>
    </row>
    <row r="14" spans="2:8" x14ac:dyDescent="0.2">
      <c r="B14" s="6">
        <f>RANK('9of st. k.'!C14,'9of st. k.'!$C$4:'9of st. k.'!$C$29,1)+COUNTIF('9of st. k.'!$C$4:'9of st. k.'!C14,'9of st. k.'!C14)-1</f>
        <v>12</v>
      </c>
      <c r="C14" s="5" t="str">
        <f>INDEX('9of st. k.'!B4:G29,MATCH(11,B4:B29,0),1)</f>
        <v>jarosławski</v>
      </c>
      <c r="D14" s="6">
        <f>INDEX('9of st. k.'!B4:G29,MATCH(11,B4:B29,0),2)</f>
        <v>27</v>
      </c>
      <c r="E14" s="42">
        <f>INDEX('9of st. k.'!B4:G29,MATCH(11,B4:B29,0),3)</f>
        <v>29</v>
      </c>
      <c r="F14" s="6">
        <f>INDEX('9of st. k.'!B4:G29,MATCH(11,B4:B29,0),4)</f>
        <v>-2</v>
      </c>
      <c r="G14" s="42">
        <f>INDEX('9of st. k.'!B4:G29,MATCH(11,B4:B29,0),5)</f>
        <v>20</v>
      </c>
      <c r="H14" s="6">
        <f>INDEX('9of st. k.'!B4:G29,MATCH(11,B4:B29,0),6)</f>
        <v>7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>łańcucki</v>
      </c>
      <c r="D15" s="6">
        <f>INDEX('9of st. k.'!B4:G29,MATCH(12,B4:B29,0),2)</f>
        <v>27</v>
      </c>
      <c r="E15" s="42">
        <f>INDEX('9of st. k.'!B4:G29,MATCH(12,B4:B29,0),3)</f>
        <v>24</v>
      </c>
      <c r="F15" s="6">
        <f>INDEX('9of st. k.'!B4:G29,MATCH(12,B4:B29,0),4)</f>
        <v>3</v>
      </c>
      <c r="G15" s="42">
        <f>INDEX('9of st. k.'!B4:G29,MATCH(12,B4:B29,0),5)</f>
        <v>25</v>
      </c>
      <c r="H15" s="6">
        <f>INDEX('9of st. k.'!B4:G29,MATCH(12,B4:B29,0),6)</f>
        <v>2</v>
      </c>
    </row>
    <row r="16" spans="2:8" x14ac:dyDescent="0.2">
      <c r="B16" s="6">
        <f>RANK('9of st. k.'!C16,'9of st. k.'!$C$4:'9of st. k.'!$C$29,1)+COUNTIF('9of st. k.'!$C$4:'9of st. k.'!C16,'9of st. k.'!C16)-1</f>
        <v>18</v>
      </c>
      <c r="C16" s="5" t="str">
        <f>INDEX('9of st. k.'!B4:G29,MATCH(13,B4:B29,0),1)</f>
        <v>stalowowolski</v>
      </c>
      <c r="D16" s="6">
        <f>INDEX('9of st. k.'!B4:G29,MATCH(13,B4:B29,0),2)</f>
        <v>27</v>
      </c>
      <c r="E16" s="42">
        <f>INDEX('9of st. k.'!B4:G29,MATCH(13,B4:B29,0),3)</f>
        <v>28</v>
      </c>
      <c r="F16" s="6">
        <f>INDEX('9of st. k.'!B4:G29,MATCH(13,B4:B29,0),4)</f>
        <v>-1</v>
      </c>
      <c r="G16" s="42">
        <f>INDEX('9of st. k.'!B4:G29,MATCH(13,B4:B29,0),5)</f>
        <v>29</v>
      </c>
      <c r="H16" s="6">
        <f>INDEX('9of st. k.'!B4:G29,MATCH(13,B4:B29,0),6)</f>
        <v>-2</v>
      </c>
    </row>
    <row r="17" spans="2:8" x14ac:dyDescent="0.2">
      <c r="B17" s="6">
        <f>RANK('9of st. k.'!C17,'9of st. k.'!$C$4:'9of st. k.'!$C$29,1)+COUNTIF('9of st. k.'!$C$4:'9of st. k.'!C17,'9of st. k.'!C17)-1</f>
        <v>1</v>
      </c>
      <c r="C17" s="5" t="str">
        <f>INDEX('9of st. k.'!B4:G29,MATCH(14,B4:B29,0),1)</f>
        <v>leski</v>
      </c>
      <c r="D17" s="6">
        <f>INDEX('9of st. k.'!B4:G29,MATCH(14,B4:B29,0),2)</f>
        <v>28</v>
      </c>
      <c r="E17" s="42">
        <f>INDEX('9of st. k.'!B4:G29,MATCH(14,B4:B29,0),3)</f>
        <v>12</v>
      </c>
      <c r="F17" s="6">
        <f>INDEX('9of st. k.'!B4:G29,MATCH(14,B4:B29,0),4)</f>
        <v>16</v>
      </c>
      <c r="G17" s="42">
        <f>INDEX('9of st. k.'!B4:G29,MATCH(14,B4:B29,0),5)</f>
        <v>12</v>
      </c>
      <c r="H17" s="6">
        <f>INDEX('9of st. k.'!B4:G29,MATCH(14,B4:B29,0),6)</f>
        <v>16</v>
      </c>
    </row>
    <row r="18" spans="2:8" x14ac:dyDescent="0.2">
      <c r="B18" s="6">
        <f>RANK('9of st. k.'!C18,'9of st. k.'!$C$4:'9of st. k.'!$C$29,1)+COUNTIF('9of st. k.'!$C$4:'9of st. k.'!C18,'9of st. k.'!C18)-1</f>
        <v>23</v>
      </c>
      <c r="C18" s="5" t="str">
        <f>INDEX('9of st. k.'!B4:G29,MATCH(15,B4:B29,0),1)</f>
        <v>Krosno</v>
      </c>
      <c r="D18" s="6">
        <f>INDEX('9of st. k.'!B4:G29,MATCH(15,B4:B29,0),2)</f>
        <v>28</v>
      </c>
      <c r="E18" s="42">
        <f>INDEX('9of st. k.'!B4:G29,MATCH(15,B4:B29,0),3)</f>
        <v>86</v>
      </c>
      <c r="F18" s="6">
        <f>INDEX('9of st. k.'!B4:G29,MATCH(15,B4:B29,0),4)</f>
        <v>-58</v>
      </c>
      <c r="G18" s="42">
        <f>INDEX('9of st. k.'!B4:G29,MATCH(15,B4:B29,0),5)</f>
        <v>19</v>
      </c>
      <c r="H18" s="6">
        <f>INDEX('9of st. k.'!B4:G29,MATCH(15,B4:B29,0),6)</f>
        <v>9</v>
      </c>
    </row>
    <row r="19" spans="2:8" x14ac:dyDescent="0.2">
      <c r="B19" s="6">
        <f>RANK('9of st. k.'!C19,'9of st. k.'!$C$4:'9of st. k.'!$C$29,1)+COUNTIF('9of st. k.'!$C$4:'9of st. k.'!C19,'9of st. k.'!C19)-1</f>
        <v>7</v>
      </c>
      <c r="C19" s="5" t="str">
        <f>INDEX('9of st. k.'!B4:G29,MATCH(16,B4:B29,0),1)</f>
        <v>kolbuszowski</v>
      </c>
      <c r="D19" s="6">
        <f>INDEX('9of st. k.'!B4:G29,MATCH(16,B4:B29,0),2)</f>
        <v>35</v>
      </c>
      <c r="E19" s="42">
        <f>INDEX('9of st. k.'!B4:G29,MATCH(16,B4:B29,0),3)</f>
        <v>50</v>
      </c>
      <c r="F19" s="6">
        <f>INDEX('9of st. k.'!B4:G29,MATCH(16,B4:B29,0),4)</f>
        <v>-15</v>
      </c>
      <c r="G19" s="42">
        <f>INDEX('9of st. k.'!B4:G29,MATCH(16,B4:B29,0),5)</f>
        <v>25</v>
      </c>
      <c r="H19" s="6">
        <f>INDEX('9of st. k.'!B4:G29,MATCH(16,B4:B29,0),6)</f>
        <v>10</v>
      </c>
    </row>
    <row r="20" spans="2:8" x14ac:dyDescent="0.2">
      <c r="B20" s="6">
        <f>RANK('9of st. k.'!C20,'9of st. k.'!$C$4:'9of st. k.'!$C$29,1)+COUNTIF('9of st. k.'!$C$4:'9of st. k.'!C20,'9of st. k.'!C20)-1</f>
        <v>8</v>
      </c>
      <c r="C20" s="5" t="str">
        <f>INDEX('9of st. k.'!B4:G29,MATCH(17,B4:B29,0),1)</f>
        <v>leżajski</v>
      </c>
      <c r="D20" s="6">
        <f>INDEX('9of st. k.'!B4:G29,MATCH(17,B4:B29,0),2)</f>
        <v>36</v>
      </c>
      <c r="E20" s="42">
        <f>INDEX('9of st. k.'!B4:G29,MATCH(17,B4:B29,0),3)</f>
        <v>58</v>
      </c>
      <c r="F20" s="6">
        <f>INDEX('9of st. k.'!B4:G29,MATCH(17,B4:B29,0),4)</f>
        <v>-22</v>
      </c>
      <c r="G20" s="42">
        <f>INDEX('9of st. k.'!B4:G29,MATCH(17,B4:B29,0),5)</f>
        <v>36</v>
      </c>
      <c r="H20" s="6">
        <f>INDEX('9of st. k.'!B4:G29,MATCH(17,B4:B29,0),6)</f>
        <v>0</v>
      </c>
    </row>
    <row r="21" spans="2:8" x14ac:dyDescent="0.2">
      <c r="B21" s="6">
        <f>RANK('9of st. k.'!C21,'9of st. k.'!$C$4:'9of st. k.'!$C$29,1)+COUNTIF('9of st. k.'!$C$4:'9of st. k.'!C21,'9of st. k.'!C21)-1</f>
        <v>10</v>
      </c>
      <c r="C21" s="5" t="str">
        <f>INDEX('9of st. k.'!B4:G29,MATCH(18,B4:B29,0),1)</f>
        <v>niżański</v>
      </c>
      <c r="D21" s="6">
        <f>INDEX('9of st. k.'!B4:G29,MATCH(18,B4:B29,0),2)</f>
        <v>42</v>
      </c>
      <c r="E21" s="42">
        <f>INDEX('9of st. k.'!B4:G29,MATCH(18,B4:B29,0),3)</f>
        <v>58</v>
      </c>
      <c r="F21" s="6">
        <f>INDEX('9of st. k.'!B4:G29,MATCH(18,B4:B29,0),4)</f>
        <v>-16</v>
      </c>
      <c r="G21" s="42">
        <f>INDEX('9of st. k.'!B4:G29,MATCH(18,B4:B29,0),5)</f>
        <v>58</v>
      </c>
      <c r="H21" s="6">
        <f>INDEX('9of st. k.'!B4:G29,MATCH(18,B4:B29,0),6)</f>
        <v>-16</v>
      </c>
    </row>
    <row r="22" spans="2:8" x14ac:dyDescent="0.2">
      <c r="B22" s="6">
        <f>RANK('9of st. k.'!C22,'9of st. k.'!$C$4:'9of st. k.'!$C$29,1)+COUNTIF('9of st. k.'!$C$4:'9of st. k.'!C22,'9of st. k.'!C22)-1</f>
        <v>13</v>
      </c>
      <c r="C22" s="5" t="str">
        <f>INDEX('9of st. k.'!B4:G29,MATCH(19,B4:B29,0),1)</f>
        <v xml:space="preserve">tarnobrzeski </v>
      </c>
      <c r="D22" s="6">
        <f>INDEX('9of st. k.'!B4:G29,MATCH(19,B4:B29,0),2)</f>
        <v>43</v>
      </c>
      <c r="E22" s="42">
        <f>INDEX('9of st. k.'!B4:G29,MATCH(19,B4:B29,0),3)</f>
        <v>22</v>
      </c>
      <c r="F22" s="6">
        <f>INDEX('9of st. k.'!B4:G29,MATCH(19,B4:B29,0),4)</f>
        <v>21</v>
      </c>
      <c r="G22" s="42">
        <f>INDEX('9of st. k.'!B4:G29,MATCH(19,B4:B29,0),5)</f>
        <v>78</v>
      </c>
      <c r="H22" s="6">
        <f>INDEX('9of st. k.'!B4:G29,MATCH(19,B4:B29,0),6)</f>
        <v>-35</v>
      </c>
    </row>
    <row r="23" spans="2:8" x14ac:dyDescent="0.2">
      <c r="B23" s="6">
        <f>RANK('9of st. k.'!C23,'9of st. k.'!$C$4:'9of st. k.'!$C$29,1)+COUNTIF('9of st. k.'!$C$4:'9of st. k.'!C23,'9of st. k.'!C23)-1</f>
        <v>4</v>
      </c>
      <c r="C23" s="5" t="str">
        <f>INDEX('9of st. k.'!B4:G29,MATCH(20,B4:B29,0),1)</f>
        <v>krośnieński</v>
      </c>
      <c r="D23" s="6">
        <f>INDEX('9of st. k.'!B4:G29,MATCH(20,B4:B29,0),2)</f>
        <v>52</v>
      </c>
      <c r="E23" s="42">
        <f>INDEX('9of st. k.'!B4:G29,MATCH(20,B4:B29,0),3)</f>
        <v>64</v>
      </c>
      <c r="F23" s="6">
        <f>INDEX('9of st. k.'!B4:G29,MATCH(20,B4:B29,0),4)</f>
        <v>-12</v>
      </c>
      <c r="G23" s="42">
        <f>INDEX('9of st. k.'!B4:G29,MATCH(20,B4:B29,0),5)</f>
        <v>49</v>
      </c>
      <c r="H23" s="6">
        <f>INDEX('9of st. k.'!B4:G29,MATCH(20,B4:B29,0),6)</f>
        <v>3</v>
      </c>
    </row>
    <row r="24" spans="2:8" x14ac:dyDescent="0.2">
      <c r="B24" s="6">
        <f>RANK('9of st. k.'!C24,'9of st. k.'!$C$4:'9of st. k.'!$C$29,1)+COUNTIF('9of st. k.'!$C$4:'9of st. k.'!C24,'9of st. k.'!C24)-1</f>
        <v>19</v>
      </c>
      <c r="C24" s="5" t="str">
        <f>INDEX('9of st. k.'!B4:G29,MATCH(21,B4:B29,0),1)</f>
        <v>dębicki</v>
      </c>
      <c r="D24" s="6">
        <f>INDEX('9of st. k.'!B4:G29,MATCH(21,B4:B29,0),2)</f>
        <v>74</v>
      </c>
      <c r="E24" s="42">
        <f>INDEX('9of st. k.'!B4:G29,MATCH(21,B4:B29,0),3)</f>
        <v>131</v>
      </c>
      <c r="F24" s="6">
        <f>INDEX('9of st. k.'!B4:G29,MATCH(21,B4:B29,0),4)</f>
        <v>-57</v>
      </c>
      <c r="G24" s="42">
        <f>INDEX('9of st. k.'!B4:G29,MATCH(21,B4:B29,0),5)</f>
        <v>113</v>
      </c>
      <c r="H24" s="6">
        <f>INDEX('9of st. k.'!B4:G29,MATCH(21,B4:B29,0),6)</f>
        <v>-39</v>
      </c>
    </row>
    <row r="25" spans="2:8" x14ac:dyDescent="0.2">
      <c r="B25" s="6">
        <f>RANK('9of st. k.'!C25,'9of st. k.'!$C$4:'9of st. k.'!$C$29,1)+COUNTIF('9of st. k.'!$C$4:'9of st. k.'!C25,'9of st. k.'!C25)-1</f>
        <v>15</v>
      </c>
      <c r="C25" s="5" t="str">
        <f>INDEX('9of st. k.'!B4:G29,MATCH(22,B4:B29,0),1)</f>
        <v>jasielski</v>
      </c>
      <c r="D25" s="6">
        <f>INDEX('9of st. k.'!B4:G29,MATCH(22,B4:B29,0),2)</f>
        <v>105</v>
      </c>
      <c r="E25" s="42">
        <f>INDEX('9of st. k.'!B4:G29,MATCH(22,B4:B29,0),3)</f>
        <v>27</v>
      </c>
      <c r="F25" s="6">
        <f>INDEX('9of st. k.'!B4:G29,MATCH(22,B4:B29,0),4)</f>
        <v>78</v>
      </c>
      <c r="G25" s="42">
        <f>INDEX('9of st. k.'!B4:G29,MATCH(22,B4:B29,0),5)</f>
        <v>105</v>
      </c>
      <c r="H25" s="6">
        <f>INDEX('9of st. k.'!B4:G29,MATCH(22,B4:B29,0),6)</f>
        <v>0</v>
      </c>
    </row>
    <row r="26" spans="2:8" x14ac:dyDescent="0.2">
      <c r="B26" s="6">
        <f>RANK('9of st. k.'!C26,'9of st. k.'!$C$4:'9of st. k.'!$C$29,1)+COUNTIF('9of st. k.'!$C$4:'9of st. k.'!C26,'9of st. k.'!C26)-1</f>
        <v>5</v>
      </c>
      <c r="C26" s="5" t="str">
        <f>INDEX('9of st. k.'!B4:G29,MATCH(23,B4:B29,0),1)</f>
        <v>przeworski</v>
      </c>
      <c r="D26" s="6">
        <f>INDEX('9of st. k.'!B4:G29,MATCH(23,B4:B29,0),2)</f>
        <v>122</v>
      </c>
      <c r="E26" s="42">
        <f>INDEX('9of st. k.'!B4:G29,MATCH(23,B4:B29,0),3)</f>
        <v>123</v>
      </c>
      <c r="F26" s="6">
        <f>INDEX('9of st. k.'!B4:G29,MATCH(23,B4:B29,0),4)</f>
        <v>-1</v>
      </c>
      <c r="G26" s="42">
        <f>INDEX('9of st. k.'!B4:G29,MATCH(23,B4:B29,0),5)</f>
        <v>66</v>
      </c>
      <c r="H26" s="6">
        <f>INDEX('9of st. k.'!B4:G29,MATCH(23,B4:B29,0),6)</f>
        <v>56</v>
      </c>
    </row>
    <row r="27" spans="2:8" x14ac:dyDescent="0.2">
      <c r="B27" s="6">
        <f>RANK('9of st. k.'!C27,'9of st. k.'!$C$4:'9of st. k.'!$C$29,1)+COUNTIF('9of st. k.'!$C$4:'9of st. k.'!C27,'9of st. k.'!C27)-1</f>
        <v>24</v>
      </c>
      <c r="C27" s="5" t="str">
        <f>INDEX('9of st. k.'!B4:G29,MATCH(24,B4:B29,0),1)</f>
        <v>Rzeszów</v>
      </c>
      <c r="D27" s="6">
        <f>INDEX('9of st. k.'!B4:G29,MATCH(24,B4:B29,0),2)</f>
        <v>135</v>
      </c>
      <c r="E27" s="42">
        <f>INDEX('9of st. k.'!B4:G29,MATCH(24,B4:B29,0),3)</f>
        <v>202</v>
      </c>
      <c r="F27" s="6">
        <f>INDEX('9of st. k.'!B4:G29,MATCH(24,B4:B29,0),4)</f>
        <v>-67</v>
      </c>
      <c r="G27" s="42">
        <f>INDEX('9of st. k.'!B4:G29,MATCH(24,B4:B29,0),5)</f>
        <v>347</v>
      </c>
      <c r="H27" s="6">
        <f>INDEX('9of st. k.'!B4:G29,MATCH(24,B4:B29,0),6)</f>
        <v>-212</v>
      </c>
    </row>
    <row r="28" spans="2:8" x14ac:dyDescent="0.2">
      <c r="B28" s="6">
        <f>RANK('9of st. k.'!C28,'9of st. k.'!$C$4:'9of st. k.'!$C$29,1)+COUNTIF('9of st. k.'!$C$4:'9of st. k.'!C28,'9of st. k.'!C28)-1</f>
        <v>9</v>
      </c>
      <c r="C28" s="5" t="str">
        <f>INDEX('9of st. k.'!B4:G29,MATCH(25,B4:B29,0),1)</f>
        <v>mielecki</v>
      </c>
      <c r="D28" s="6">
        <f>INDEX('9of st. k.'!B4:G29,MATCH(25,B4:B29,0),2)</f>
        <v>243</v>
      </c>
      <c r="E28" s="42">
        <f>INDEX('9of st. k.'!B4:G29,MATCH(25,B4:B29,0),3)</f>
        <v>328</v>
      </c>
      <c r="F28" s="6">
        <f>INDEX('9of st. k.'!B4:G29,MATCH(25,B4:B29,0),4)</f>
        <v>-85</v>
      </c>
      <c r="G28" s="42">
        <f>INDEX('9of st. k.'!B4:G29,MATCH(25,B4:B29,0),5)</f>
        <v>243</v>
      </c>
      <c r="H28" s="6">
        <f>INDEX('9of st. k.'!B4:G29,MATCH(25,B4:B29,0),6)</f>
        <v>0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1144</v>
      </c>
      <c r="E29" s="44">
        <f>INDEX('9of st. k.'!B4:G29,MATCH(26,B4:B29,0),3)</f>
        <v>1446</v>
      </c>
      <c r="F29" s="40">
        <f>INDEX('9of st. k.'!B4:G29,MATCH(26,B4:B29,0),4)</f>
        <v>-302</v>
      </c>
      <c r="G29" s="44">
        <f>INDEX('9of st. k.'!B4:G29,MATCH(26,B4:B29,0),5)</f>
        <v>1540</v>
      </c>
      <c r="H29" s="40">
        <f>INDEX('9of st. k.'!B4:G29,MATCH(26,B4:B29,0),6)</f>
        <v>-396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0"/>
  <sheetViews>
    <sheetView zoomScaleNormal="100" workbookViewId="0">
      <selection activeCell="B1" sqref="B1"/>
    </sheetView>
  </sheetViews>
  <sheetFormatPr defaultRowHeight="11.25" x14ac:dyDescent="0.2"/>
  <cols>
    <col min="1" max="1" width="2" style="51" customWidth="1"/>
    <col min="2" max="2" width="3.5703125" style="51" customWidth="1"/>
    <col min="3" max="3" width="20.140625" style="51" customWidth="1"/>
    <col min="4" max="5" width="10.140625" style="51" customWidth="1"/>
    <col min="6" max="6" width="6.28515625" style="51" customWidth="1"/>
    <col min="7" max="7" width="2.28515625" style="51" customWidth="1"/>
    <col min="8" max="8" width="8.7109375" style="51" customWidth="1"/>
    <col min="9" max="9" width="8.5703125" style="51" customWidth="1"/>
    <col min="10" max="10" width="6.7109375" style="51" customWidth="1"/>
    <col min="11" max="11" width="1.5703125" style="51" customWidth="1"/>
    <col min="12" max="12" width="8" style="51" customWidth="1"/>
    <col min="13" max="13" width="8.28515625" style="51" customWidth="1"/>
    <col min="14" max="14" width="6.5703125" style="51" customWidth="1"/>
    <col min="15" max="15" width="2.2851562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140625" style="51" customWidth="1"/>
    <col min="20" max="20" width="6.42578125" style="51" customWidth="1"/>
    <col min="21" max="21" width="2.140625" style="51" customWidth="1"/>
    <col min="22" max="22" width="6.42578125" style="51" customWidth="1"/>
    <col min="23" max="23" width="7.28515625" style="51" customWidth="1"/>
    <col min="24" max="24" width="6.7109375" style="51" customWidth="1"/>
    <col min="25" max="25" width="1.85546875" style="51" customWidth="1"/>
    <col min="26" max="26" width="6" style="71" customWidth="1"/>
    <col min="27" max="27" width="18.7109375" style="51" customWidth="1"/>
    <col min="28" max="28" width="6" style="51" customWidth="1"/>
    <col min="29" max="29" width="2.42578125" style="51" customWidth="1"/>
    <col min="30" max="30" width="6" style="51" customWidth="1"/>
    <col min="31" max="31" width="18.85546875" style="51" customWidth="1"/>
    <col min="32" max="32" width="5.28515625" style="51" customWidth="1"/>
    <col min="33" max="33" width="1.5703125" style="51" customWidth="1"/>
    <col min="34" max="34" width="4.140625" style="51" customWidth="1"/>
    <col min="35" max="35" width="4.42578125" style="51" customWidth="1"/>
    <col min="36" max="16384" width="9.140625" style="51"/>
  </cols>
  <sheetData>
    <row r="1" spans="2:35" ht="11.25" customHeight="1" x14ac:dyDescent="0.2">
      <c r="C1" s="99" t="s">
        <v>62</v>
      </c>
      <c r="D1" s="98"/>
      <c r="E1" s="98"/>
      <c r="F1" s="98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50"/>
    </row>
    <row r="2" spans="2:35" ht="13.5" customHeight="1" thickBot="1" x14ac:dyDescent="0.25">
      <c r="C2" s="147" t="s">
        <v>58</v>
      </c>
      <c r="D2" s="95"/>
      <c r="E2" s="95"/>
      <c r="F2" s="95"/>
      <c r="G2" s="96"/>
      <c r="H2" s="147" t="s">
        <v>59</v>
      </c>
      <c r="I2" s="96"/>
      <c r="J2" s="96"/>
      <c r="K2" s="96"/>
      <c r="L2" s="147" t="s">
        <v>60</v>
      </c>
      <c r="M2" s="96"/>
      <c r="N2" s="96"/>
      <c r="O2" s="96"/>
      <c r="P2" s="50"/>
      <c r="Q2" s="79"/>
      <c r="R2" s="148" t="s">
        <v>73</v>
      </c>
      <c r="S2" s="96"/>
      <c r="T2" s="50"/>
      <c r="U2" s="79"/>
      <c r="V2" s="148" t="s">
        <v>73</v>
      </c>
      <c r="W2" s="50"/>
      <c r="X2" s="96"/>
      <c r="Y2" s="79"/>
      <c r="Z2" s="97"/>
      <c r="AA2" s="80"/>
      <c r="AB2" s="80"/>
      <c r="AC2" s="80"/>
      <c r="AD2" s="80"/>
      <c r="AE2" s="80"/>
      <c r="AF2" s="80"/>
      <c r="AG2" s="80"/>
      <c r="AH2" s="80"/>
      <c r="AI2" s="80"/>
    </row>
    <row r="3" spans="2:35" ht="45.75" thickBot="1" x14ac:dyDescent="0.25">
      <c r="B3" s="128"/>
      <c r="C3" s="94" t="s">
        <v>27</v>
      </c>
      <c r="D3" s="100" t="s">
        <v>95</v>
      </c>
      <c r="E3" s="102" t="s">
        <v>96</v>
      </c>
      <c r="F3" s="129" t="s">
        <v>64</v>
      </c>
      <c r="G3" s="75"/>
      <c r="H3" s="101" t="s">
        <v>97</v>
      </c>
      <c r="I3" s="102" t="s">
        <v>98</v>
      </c>
      <c r="J3" s="129" t="s">
        <v>65</v>
      </c>
      <c r="K3" s="75"/>
      <c r="L3" s="101" t="s">
        <v>99</v>
      </c>
      <c r="M3" s="102" t="s">
        <v>100</v>
      </c>
      <c r="N3" s="129" t="s">
        <v>64</v>
      </c>
      <c r="O3" s="75"/>
      <c r="P3" s="124" t="s">
        <v>61</v>
      </c>
      <c r="Q3" s="77"/>
      <c r="R3" s="135" t="s">
        <v>53</v>
      </c>
      <c r="S3" s="102" t="s">
        <v>72</v>
      </c>
      <c r="T3" s="140" t="s">
        <v>63</v>
      </c>
      <c r="U3" s="53"/>
      <c r="V3" s="135" t="s">
        <v>72</v>
      </c>
      <c r="W3" s="110" t="s">
        <v>101</v>
      </c>
      <c r="X3" s="141" t="s">
        <v>68</v>
      </c>
      <c r="Z3" s="127" t="s">
        <v>54</v>
      </c>
      <c r="AA3" s="143" t="s">
        <v>51</v>
      </c>
      <c r="AB3" s="144" t="s">
        <v>51</v>
      </c>
      <c r="AC3" s="115"/>
      <c r="AD3" s="127" t="s">
        <v>55</v>
      </c>
      <c r="AE3" s="143" t="s">
        <v>52</v>
      </c>
      <c r="AF3" s="144" t="s">
        <v>52</v>
      </c>
      <c r="AG3" s="77"/>
      <c r="AH3" s="128"/>
      <c r="AI3" s="142"/>
    </row>
    <row r="4" spans="2:35" x14ac:dyDescent="0.2">
      <c r="B4" s="128">
        <v>1</v>
      </c>
      <c r="C4" s="81" t="s">
        <v>0</v>
      </c>
      <c r="D4" s="155">
        <v>653</v>
      </c>
      <c r="E4" s="156">
        <v>579</v>
      </c>
      <c r="F4" s="103">
        <f t="shared" ref="F4:F28" si="0">E4-D4</f>
        <v>-74</v>
      </c>
      <c r="G4" s="73"/>
      <c r="H4" s="52">
        <v>267</v>
      </c>
      <c r="I4" s="54">
        <v>216</v>
      </c>
      <c r="J4" s="67">
        <f t="shared" ref="J4:J28" si="1">I4-H4</f>
        <v>-51</v>
      </c>
      <c r="K4" s="76"/>
      <c r="L4" s="52">
        <v>144</v>
      </c>
      <c r="M4" s="54">
        <v>97</v>
      </c>
      <c r="N4" s="67">
        <f t="shared" ref="N4:N28" si="2">M4-L4</f>
        <v>-47</v>
      </c>
      <c r="O4" s="76"/>
      <c r="P4" s="61">
        <f>F4+J4+N4</f>
        <v>-172</v>
      </c>
      <c r="Q4" s="78"/>
      <c r="R4" s="136">
        <v>1112</v>
      </c>
      <c r="S4" s="54">
        <v>1085</v>
      </c>
      <c r="T4" s="63">
        <f>SUM(S4-R4)</f>
        <v>-27</v>
      </c>
      <c r="U4" s="55"/>
      <c r="V4" s="136">
        <v>1085</v>
      </c>
      <c r="W4" s="108">
        <v>1130</v>
      </c>
      <c r="X4" s="108">
        <f>SUM(W4-V4)</f>
        <v>45</v>
      </c>
      <c r="Z4" s="61">
        <f>RANK(P4,$P$4:$P$28,1)+COUNTIF($P$4:P4,P4)-1</f>
        <v>7</v>
      </c>
      <c r="AA4" s="64" t="str">
        <f>INDEX(C4:P28,MATCH(1,Z4:Z28,0),1)</f>
        <v>jarosławski</v>
      </c>
      <c r="AB4" s="54">
        <f>INDEX(C4:P28,MATCH(1,Z4:Z28,0),14)</f>
        <v>-603</v>
      </c>
      <c r="AC4" s="116"/>
      <c r="AD4" s="61">
        <f>RANK(T4,$T$4:$T$28,1)+COUNTIF($T$4:T4,T4)-1</f>
        <v>16</v>
      </c>
      <c r="AE4" s="64" t="str">
        <f>INDEX(C4:T28,MATCH(1,AD4:AD28,0),1)</f>
        <v>Rzeszów</v>
      </c>
      <c r="AF4" s="54">
        <f>INDEX(C4:T28,MATCH(1,AD4:AD28,0),18)</f>
        <v>-419</v>
      </c>
      <c r="AG4" s="79"/>
      <c r="AH4" s="120">
        <v>1</v>
      </c>
      <c r="AI4" s="122">
        <f>SUM(Z4)-AD4</f>
        <v>-9</v>
      </c>
    </row>
    <row r="5" spans="2:35" x14ac:dyDescent="0.2">
      <c r="B5" s="128">
        <v>2</v>
      </c>
      <c r="C5" s="82" t="s">
        <v>1</v>
      </c>
      <c r="D5" s="157">
        <v>1851</v>
      </c>
      <c r="E5" s="158">
        <v>1726</v>
      </c>
      <c r="F5" s="104">
        <f t="shared" si="0"/>
        <v>-125</v>
      </c>
      <c r="G5" s="73"/>
      <c r="H5" s="57">
        <v>472</v>
      </c>
      <c r="I5" s="56">
        <v>508</v>
      </c>
      <c r="J5" s="68">
        <f t="shared" si="1"/>
        <v>36</v>
      </c>
      <c r="K5" s="76"/>
      <c r="L5" s="57">
        <v>254</v>
      </c>
      <c r="M5" s="56">
        <v>266</v>
      </c>
      <c r="N5" s="68">
        <f t="shared" si="2"/>
        <v>12</v>
      </c>
      <c r="O5" s="76"/>
      <c r="P5" s="125">
        <f>F5+J5+N5</f>
        <v>-77</v>
      </c>
      <c r="Q5" s="78"/>
      <c r="R5" s="137">
        <v>4038</v>
      </c>
      <c r="S5" s="149">
        <v>3848</v>
      </c>
      <c r="T5" s="72">
        <f t="shared" ref="T5:T28" si="3">SUM(S5-R5)</f>
        <v>-190</v>
      </c>
      <c r="U5" s="55"/>
      <c r="V5" s="137">
        <v>3848</v>
      </c>
      <c r="W5" s="109">
        <v>3780</v>
      </c>
      <c r="X5" s="109">
        <f t="shared" ref="X5:X28" si="4">SUM(W5-V5)</f>
        <v>-68</v>
      </c>
      <c r="Z5" s="62">
        <f>RANK(P5,$P$4:$P$28,1)+COUNTIF($P$4:P5,P5)-1</f>
        <v>17</v>
      </c>
      <c r="AA5" s="65" t="str">
        <f>INDEX(C4:P28,MATCH(2,Z4:Z28,0),1)</f>
        <v>strzyżowski</v>
      </c>
      <c r="AB5" s="56">
        <f>INDEX(C4:P28,MATCH(2,Z4:Z28,0),14)</f>
        <v>-528</v>
      </c>
      <c r="AC5" s="116"/>
      <c r="AD5" s="62">
        <f>RANK(T5,$T$4:$T$28,1)+COUNTIF($T$4:T5,T5)-1</f>
        <v>6</v>
      </c>
      <c r="AE5" s="65" t="str">
        <f>INDEX(C4:T28,MATCH(2,AD4:AD28,0),1)</f>
        <v>jarosławski</v>
      </c>
      <c r="AF5" s="56">
        <f>INDEX(C4:T28,MATCH(2,AD4:AD28,0),18)</f>
        <v>-375</v>
      </c>
      <c r="AG5" s="79"/>
      <c r="AH5" s="120">
        <v>2</v>
      </c>
      <c r="AI5" s="122">
        <f t="shared" ref="AI5:AI28" si="5">SUM(Z5)-AD5</f>
        <v>11</v>
      </c>
    </row>
    <row r="6" spans="2:35" x14ac:dyDescent="0.2">
      <c r="B6" s="128">
        <v>3</v>
      </c>
      <c r="C6" s="82" t="s">
        <v>2</v>
      </c>
      <c r="D6" s="157">
        <v>1930</v>
      </c>
      <c r="E6" s="158">
        <v>1973</v>
      </c>
      <c r="F6" s="104">
        <f t="shared" si="0"/>
        <v>43</v>
      </c>
      <c r="G6" s="73"/>
      <c r="H6" s="57">
        <v>539</v>
      </c>
      <c r="I6" s="56">
        <v>418</v>
      </c>
      <c r="J6" s="68">
        <f t="shared" si="1"/>
        <v>-121</v>
      </c>
      <c r="K6" s="76"/>
      <c r="L6" s="57">
        <v>211</v>
      </c>
      <c r="M6" s="56">
        <v>199</v>
      </c>
      <c r="N6" s="68">
        <f t="shared" si="2"/>
        <v>-12</v>
      </c>
      <c r="O6" s="76"/>
      <c r="P6" s="62">
        <f>F6+J6+N6</f>
        <v>-90</v>
      </c>
      <c r="Q6" s="78"/>
      <c r="R6" s="137">
        <v>2435</v>
      </c>
      <c r="S6" s="149">
        <v>2433</v>
      </c>
      <c r="T6" s="56">
        <f t="shared" si="3"/>
        <v>-2</v>
      </c>
      <c r="U6" s="50"/>
      <c r="V6" s="137">
        <v>2433</v>
      </c>
      <c r="W6" s="109">
        <v>2247</v>
      </c>
      <c r="X6" s="68">
        <f t="shared" si="4"/>
        <v>-186</v>
      </c>
      <c r="Z6" s="62">
        <f>RANK(P6,$P$4:$P$28,1)+COUNTIF($P$4:P6,P6)-1</f>
        <v>16</v>
      </c>
      <c r="AA6" s="65" t="str">
        <f>INDEX(C4:P28,MATCH(3,Z4:Z28,0),1)</f>
        <v>leżajski</v>
      </c>
      <c r="AB6" s="56">
        <f>INDEX(C4:P28,MATCH(3,Z4:Z28,0),14)</f>
        <v>-312</v>
      </c>
      <c r="AC6" s="116"/>
      <c r="AD6" s="62">
        <f>RANK(T6,$T$4:$T$28,1)+COUNTIF($T$4:T6,T6)-1</f>
        <v>17</v>
      </c>
      <c r="AE6" s="65" t="str">
        <f>INDEX(C4:T28,MATCH(3,AD4:AD28,0),1)</f>
        <v>rzeszowski</v>
      </c>
      <c r="AF6" s="56">
        <f>INDEX(C4:T28,MATCH(3,AD4:AD28,0),18)</f>
        <v>-292</v>
      </c>
      <c r="AG6" s="79"/>
      <c r="AH6" s="120">
        <v>3</v>
      </c>
      <c r="AI6" s="122">
        <f t="shared" si="5"/>
        <v>-1</v>
      </c>
    </row>
    <row r="7" spans="2:35" x14ac:dyDescent="0.2">
      <c r="B7" s="128">
        <v>4</v>
      </c>
      <c r="C7" s="82" t="s">
        <v>3</v>
      </c>
      <c r="D7" s="157">
        <v>3006</v>
      </c>
      <c r="E7" s="158">
        <v>2599</v>
      </c>
      <c r="F7" s="104">
        <f t="shared" si="0"/>
        <v>-407</v>
      </c>
      <c r="G7" s="73"/>
      <c r="H7" s="57">
        <v>807</v>
      </c>
      <c r="I7" s="56">
        <v>721</v>
      </c>
      <c r="J7" s="68">
        <f t="shared" si="1"/>
        <v>-86</v>
      </c>
      <c r="K7" s="76"/>
      <c r="L7" s="57">
        <v>423</v>
      </c>
      <c r="M7" s="56">
        <v>313</v>
      </c>
      <c r="N7" s="68">
        <f t="shared" si="2"/>
        <v>-110</v>
      </c>
      <c r="O7" s="76"/>
      <c r="P7" s="125">
        <f t="shared" ref="P7:P28" si="6">F7+J7+N7</f>
        <v>-603</v>
      </c>
      <c r="Q7" s="78"/>
      <c r="R7" s="137">
        <v>4674</v>
      </c>
      <c r="S7" s="149">
        <v>4299</v>
      </c>
      <c r="T7" s="56">
        <f t="shared" si="3"/>
        <v>-375</v>
      </c>
      <c r="U7" s="50"/>
      <c r="V7" s="137">
        <v>4299</v>
      </c>
      <c r="W7" s="109">
        <v>4489</v>
      </c>
      <c r="X7" s="68">
        <f t="shared" si="4"/>
        <v>190</v>
      </c>
      <c r="Z7" s="62">
        <f>RANK(P7,$P$4:$P$28,1)+COUNTIF($P$4:P7,P7)-1</f>
        <v>1</v>
      </c>
      <c r="AA7" s="65" t="str">
        <f>INDEX(C4:P28,MATCH(4,Z4:Z28,0),1)</f>
        <v>przeworski</v>
      </c>
      <c r="AB7" s="56">
        <f>INDEX(C4:P28,MATCH(4,Z4:Z28,0),14)</f>
        <v>-247</v>
      </c>
      <c r="AC7" s="116"/>
      <c r="AD7" s="62">
        <f>RANK(T7,$T$4:$T$28,1)+COUNTIF($T$4:T7,T7)-1</f>
        <v>2</v>
      </c>
      <c r="AE7" s="65" t="str">
        <f>INDEX(C4:T28,MATCH(4,AD4:AD28,0),1)</f>
        <v>przeworski</v>
      </c>
      <c r="AF7" s="56">
        <f>INDEX(C4:T28,MATCH(4,AD4:AD28,0),18)</f>
        <v>-257</v>
      </c>
      <c r="AG7" s="79"/>
      <c r="AH7" s="120">
        <v>4</v>
      </c>
      <c r="AI7" s="122">
        <f t="shared" si="5"/>
        <v>-1</v>
      </c>
    </row>
    <row r="8" spans="2:35" x14ac:dyDescent="0.2">
      <c r="B8" s="128">
        <v>5</v>
      </c>
      <c r="C8" s="82" t="s">
        <v>4</v>
      </c>
      <c r="D8" s="157">
        <v>2499</v>
      </c>
      <c r="E8" s="158">
        <v>2496</v>
      </c>
      <c r="F8" s="104">
        <f t="shared" si="0"/>
        <v>-3</v>
      </c>
      <c r="G8" s="73"/>
      <c r="H8" s="57">
        <v>759</v>
      </c>
      <c r="I8" s="56">
        <v>673</v>
      </c>
      <c r="J8" s="68">
        <f t="shared" si="1"/>
        <v>-86</v>
      </c>
      <c r="K8" s="76"/>
      <c r="L8" s="57">
        <v>330</v>
      </c>
      <c r="M8" s="56">
        <v>303</v>
      </c>
      <c r="N8" s="68">
        <f t="shared" si="2"/>
        <v>-27</v>
      </c>
      <c r="O8" s="76"/>
      <c r="P8" s="125">
        <f t="shared" si="6"/>
        <v>-116</v>
      </c>
      <c r="Q8" s="78"/>
      <c r="R8" s="137">
        <v>4926</v>
      </c>
      <c r="S8" s="149">
        <v>5107</v>
      </c>
      <c r="T8" s="56">
        <f t="shared" si="3"/>
        <v>181</v>
      </c>
      <c r="U8" s="50"/>
      <c r="V8" s="137">
        <v>5107</v>
      </c>
      <c r="W8" s="109">
        <v>4919</v>
      </c>
      <c r="X8" s="68">
        <f t="shared" si="4"/>
        <v>-188</v>
      </c>
      <c r="Z8" s="62">
        <f>RANK(P8,$P$4:$P$28,1)+COUNTIF($P$4:P8,P8)-1</f>
        <v>14</v>
      </c>
      <c r="AA8" s="65" t="str">
        <f>INDEX(C4:P28,MATCH(5,Z4:Z28,0),1)</f>
        <v>niżański</v>
      </c>
      <c r="AB8" s="56">
        <f>INDEX(C4:P28,MATCH(5,Z4:Z28,0),14)</f>
        <v>-229</v>
      </c>
      <c r="AC8" s="116"/>
      <c r="AD8" s="62">
        <f>RANK(T8,$T$4:$T$28,1)+COUNTIF($T$4:T8,T8)-1</f>
        <v>23</v>
      </c>
      <c r="AE8" s="65" t="str">
        <f>INDEX(C4:T28,MATCH(5,AD4:AD28,0),1)</f>
        <v>ropczycko-sędziszowski</v>
      </c>
      <c r="AF8" s="56">
        <f>INDEX(C4:T28,MATCH(5,AD4:AD28,0),18)</f>
        <v>-218</v>
      </c>
      <c r="AG8" s="79"/>
      <c r="AH8" s="120">
        <v>5</v>
      </c>
      <c r="AI8" s="121">
        <f t="shared" si="5"/>
        <v>-9</v>
      </c>
    </row>
    <row r="9" spans="2:35" x14ac:dyDescent="0.2">
      <c r="B9" s="128">
        <v>6</v>
      </c>
      <c r="C9" s="82" t="s">
        <v>5</v>
      </c>
      <c r="D9" s="157">
        <v>1125</v>
      </c>
      <c r="E9" s="158">
        <v>1066</v>
      </c>
      <c r="F9" s="104">
        <f t="shared" si="0"/>
        <v>-59</v>
      </c>
      <c r="G9" s="73"/>
      <c r="H9" s="57">
        <v>321</v>
      </c>
      <c r="I9" s="56">
        <v>233</v>
      </c>
      <c r="J9" s="68">
        <f t="shared" si="1"/>
        <v>-88</v>
      </c>
      <c r="K9" s="76"/>
      <c r="L9" s="57">
        <v>208</v>
      </c>
      <c r="M9" s="56">
        <v>183</v>
      </c>
      <c r="N9" s="68">
        <f t="shared" si="2"/>
        <v>-25</v>
      </c>
      <c r="O9" s="76"/>
      <c r="P9" s="125">
        <f t="shared" si="6"/>
        <v>-172</v>
      </c>
      <c r="Q9" s="78"/>
      <c r="R9" s="137">
        <v>1577</v>
      </c>
      <c r="S9" s="149">
        <v>1494</v>
      </c>
      <c r="T9" s="56">
        <f t="shared" si="3"/>
        <v>-83</v>
      </c>
      <c r="U9" s="50"/>
      <c r="V9" s="137">
        <v>1494</v>
      </c>
      <c r="W9" s="109">
        <v>1536</v>
      </c>
      <c r="X9" s="68">
        <f t="shared" si="4"/>
        <v>42</v>
      </c>
      <c r="Z9" s="62">
        <f>RANK(P9,$P$4:$P$28,1)+COUNTIF($P$4:P9,P9)-1</f>
        <v>8</v>
      </c>
      <c r="AA9" s="65" t="str">
        <f>INDEX(C4:P28,MATCH(6,Z4:Z28,0),1)</f>
        <v>tarnobrzeski</v>
      </c>
      <c r="AB9" s="56">
        <f>INDEX(C4:P28,MATCH(6,Z4:Z28,0),14)</f>
        <v>-183</v>
      </c>
      <c r="AC9" s="116"/>
      <c r="AD9" s="62">
        <f>RANK(T9,$T$4:$T$28,1)+COUNTIF($T$4:T9,T9)-1</f>
        <v>11</v>
      </c>
      <c r="AE9" s="65" t="str">
        <f>INDEX(C4:T28,MATCH(6,AD4:AD28,0),1)</f>
        <v>brzozowski</v>
      </c>
      <c r="AF9" s="56">
        <f>INDEX(C4:T28,MATCH(6,AD4:AD28,0),18)</f>
        <v>-190</v>
      </c>
      <c r="AG9" s="79"/>
      <c r="AH9" s="120">
        <v>6</v>
      </c>
      <c r="AI9" s="121">
        <f t="shared" si="5"/>
        <v>-3</v>
      </c>
    </row>
    <row r="10" spans="2:35" x14ac:dyDescent="0.2">
      <c r="B10" s="128">
        <v>7</v>
      </c>
      <c r="C10" s="82" t="s">
        <v>6</v>
      </c>
      <c r="D10" s="157">
        <v>1548</v>
      </c>
      <c r="E10" s="158">
        <v>1608</v>
      </c>
      <c r="F10" s="104">
        <f t="shared" si="0"/>
        <v>60</v>
      </c>
      <c r="G10" s="73"/>
      <c r="H10" s="57">
        <v>352</v>
      </c>
      <c r="I10" s="56">
        <v>291</v>
      </c>
      <c r="J10" s="68">
        <f t="shared" si="1"/>
        <v>-61</v>
      </c>
      <c r="K10" s="76"/>
      <c r="L10" s="57">
        <v>150</v>
      </c>
      <c r="M10" s="56">
        <v>161</v>
      </c>
      <c r="N10" s="68">
        <f t="shared" si="2"/>
        <v>11</v>
      </c>
      <c r="O10" s="76"/>
      <c r="P10" s="125">
        <f>F10+J10+N10</f>
        <v>10</v>
      </c>
      <c r="Q10" s="78"/>
      <c r="R10" s="137">
        <v>2018</v>
      </c>
      <c r="S10" s="149">
        <v>2221</v>
      </c>
      <c r="T10" s="72">
        <f t="shared" si="3"/>
        <v>203</v>
      </c>
      <c r="U10" s="50"/>
      <c r="V10" s="137">
        <v>2221</v>
      </c>
      <c r="W10" s="109">
        <v>2356</v>
      </c>
      <c r="X10" s="68">
        <f t="shared" si="4"/>
        <v>135</v>
      </c>
      <c r="Z10" s="62">
        <f>RANK(P10,$P$4:$P$28,1)+COUNTIF($P$4:P10,P10)-1</f>
        <v>23</v>
      </c>
      <c r="AA10" s="65" t="str">
        <f>INDEX(C4:P28,MATCH(7,Z4:Z28,0),1)</f>
        <v>bieszczadzki</v>
      </c>
      <c r="AB10" s="56">
        <f>INDEX(C4:P28,MATCH(7,Z4:Z28,0),14)</f>
        <v>-172</v>
      </c>
      <c r="AC10" s="116"/>
      <c r="AD10" s="62">
        <f>RANK(T10,$T$4:$T$28,1)+COUNTIF($T$4:T10,T10)-1</f>
        <v>24</v>
      </c>
      <c r="AE10" s="65" t="str">
        <f>INDEX(C4:T28,MATCH(7,AD4:AD28,0),1)</f>
        <v>strzyżowski</v>
      </c>
      <c r="AF10" s="56">
        <f>INDEX(C4:T28,MATCH(7,AD4:AD28,0),18)</f>
        <v>-141</v>
      </c>
      <c r="AG10" s="79"/>
      <c r="AH10" s="120">
        <v>7</v>
      </c>
      <c r="AI10" s="121">
        <f t="shared" si="5"/>
        <v>-1</v>
      </c>
    </row>
    <row r="11" spans="2:35" x14ac:dyDescent="0.2">
      <c r="B11" s="128">
        <v>8</v>
      </c>
      <c r="C11" s="82" t="s">
        <v>7</v>
      </c>
      <c r="D11" s="157">
        <v>927</v>
      </c>
      <c r="E11" s="158">
        <v>897</v>
      </c>
      <c r="F11" s="104">
        <f t="shared" si="0"/>
        <v>-30</v>
      </c>
      <c r="G11" s="73"/>
      <c r="H11" s="57">
        <v>249</v>
      </c>
      <c r="I11" s="56">
        <v>193</v>
      </c>
      <c r="J11" s="68">
        <f t="shared" si="1"/>
        <v>-56</v>
      </c>
      <c r="K11" s="76"/>
      <c r="L11" s="57">
        <v>85</v>
      </c>
      <c r="M11" s="56">
        <v>113</v>
      </c>
      <c r="N11" s="68">
        <f t="shared" si="2"/>
        <v>28</v>
      </c>
      <c r="O11" s="76"/>
      <c r="P11" s="125">
        <f t="shared" si="6"/>
        <v>-58</v>
      </c>
      <c r="Q11" s="78"/>
      <c r="R11" s="137">
        <v>1747</v>
      </c>
      <c r="S11" s="149">
        <v>1716</v>
      </c>
      <c r="T11" s="56">
        <f t="shared" si="3"/>
        <v>-31</v>
      </c>
      <c r="U11" s="50"/>
      <c r="V11" s="137">
        <v>1716</v>
      </c>
      <c r="W11" s="109">
        <v>1726</v>
      </c>
      <c r="X11" s="68">
        <f t="shared" si="4"/>
        <v>10</v>
      </c>
      <c r="Z11" s="62">
        <f>RANK(P11,$P$4:$P$28,1)+COUNTIF($P$4:P11,P11)-1</f>
        <v>18</v>
      </c>
      <c r="AA11" s="65" t="str">
        <f>INDEX(C4:P28,MATCH(8,Z4:Z28,0),1)</f>
        <v>kolbuszowski</v>
      </c>
      <c r="AB11" s="56">
        <f>INDEX(C4:P28,MATCH(8,Z4:Z28,0),14)</f>
        <v>-172</v>
      </c>
      <c r="AC11" s="116"/>
      <c r="AD11" s="62">
        <f>RANK(T11,$T$4:$T$28,1)+COUNTIF($T$4:T11,T11)-1</f>
        <v>15</v>
      </c>
      <c r="AE11" s="65" t="str">
        <f>INDEX(C4:T28,MATCH(8,AD4:AD28,0),1)</f>
        <v>Przemyśl</v>
      </c>
      <c r="AF11" s="56">
        <f>INDEX(C4:T28,MATCH(8,AD4:AD28,0),18)</f>
        <v>-141</v>
      </c>
      <c r="AG11" s="79"/>
      <c r="AH11" s="120">
        <v>8</v>
      </c>
      <c r="AI11" s="121">
        <f t="shared" si="5"/>
        <v>3</v>
      </c>
    </row>
    <row r="12" spans="2:35" x14ac:dyDescent="0.2">
      <c r="B12" s="128">
        <v>9</v>
      </c>
      <c r="C12" s="82" t="s">
        <v>8</v>
      </c>
      <c r="D12" s="157">
        <v>1792</v>
      </c>
      <c r="E12" s="158">
        <v>1630</v>
      </c>
      <c r="F12" s="104">
        <f t="shared" si="0"/>
        <v>-162</v>
      </c>
      <c r="G12" s="73"/>
      <c r="H12" s="57">
        <v>482</v>
      </c>
      <c r="I12" s="56">
        <v>381</v>
      </c>
      <c r="J12" s="68">
        <f t="shared" si="1"/>
        <v>-101</v>
      </c>
      <c r="K12" s="76"/>
      <c r="L12" s="57">
        <v>433</v>
      </c>
      <c r="M12" s="56">
        <v>384</v>
      </c>
      <c r="N12" s="68">
        <f t="shared" si="2"/>
        <v>-49</v>
      </c>
      <c r="O12" s="76"/>
      <c r="P12" s="125">
        <f t="shared" si="6"/>
        <v>-312</v>
      </c>
      <c r="Q12" s="78"/>
      <c r="R12" s="137">
        <v>3198</v>
      </c>
      <c r="S12" s="149">
        <v>3105</v>
      </c>
      <c r="T12" s="56">
        <f t="shared" si="3"/>
        <v>-93</v>
      </c>
      <c r="U12" s="50"/>
      <c r="V12" s="137">
        <v>3105</v>
      </c>
      <c r="W12" s="109">
        <v>2975</v>
      </c>
      <c r="X12" s="68">
        <f t="shared" si="4"/>
        <v>-130</v>
      </c>
      <c r="Z12" s="62">
        <f>RANK(P12,$P$4:$P$28,1)+COUNTIF($P$4:P12,P12)-1</f>
        <v>3</v>
      </c>
      <c r="AA12" s="65" t="str">
        <f>INDEX(C4:P28,MATCH(9,Z4:Z28,0),1)</f>
        <v>Rzeszów</v>
      </c>
      <c r="AB12" s="56">
        <f>INDEX(C4:P28,MATCH(9,Z4:Z28,0),14)</f>
        <v>-163</v>
      </c>
      <c r="AC12" s="116"/>
      <c r="AD12" s="62">
        <f>RANK(T12,$T$4:$T$28,1)+COUNTIF($T$4:T12,T12)-1</f>
        <v>10</v>
      </c>
      <c r="AE12" s="65" t="str">
        <f>INDEX(C4:T28,MATCH(9,AD4:AD28,0),1)</f>
        <v>przemyski</v>
      </c>
      <c r="AF12" s="56">
        <f>INDEX(C4:T28,MATCH(9,AD4:AD28,0),18)</f>
        <v>-121</v>
      </c>
      <c r="AG12" s="79"/>
      <c r="AH12" s="120">
        <v>9</v>
      </c>
      <c r="AI12" s="121">
        <f t="shared" si="5"/>
        <v>-7</v>
      </c>
    </row>
    <row r="13" spans="2:35" x14ac:dyDescent="0.2">
      <c r="B13" s="128">
        <v>10</v>
      </c>
      <c r="C13" s="82" t="s">
        <v>9</v>
      </c>
      <c r="D13" s="157">
        <v>1276</v>
      </c>
      <c r="E13" s="158">
        <v>1246</v>
      </c>
      <c r="F13" s="104">
        <f t="shared" si="0"/>
        <v>-30</v>
      </c>
      <c r="G13" s="73"/>
      <c r="H13" s="57">
        <v>352</v>
      </c>
      <c r="I13" s="56">
        <v>296</v>
      </c>
      <c r="J13" s="68">
        <f t="shared" si="1"/>
        <v>-56</v>
      </c>
      <c r="K13" s="76"/>
      <c r="L13" s="57">
        <v>331</v>
      </c>
      <c r="M13" s="56">
        <v>267</v>
      </c>
      <c r="N13" s="68">
        <f t="shared" si="2"/>
        <v>-64</v>
      </c>
      <c r="O13" s="76"/>
      <c r="P13" s="125">
        <f t="shared" si="6"/>
        <v>-150</v>
      </c>
      <c r="Q13" s="78"/>
      <c r="R13" s="137">
        <v>1831</v>
      </c>
      <c r="S13" s="149">
        <v>1867</v>
      </c>
      <c r="T13" s="56">
        <f t="shared" si="3"/>
        <v>36</v>
      </c>
      <c r="U13" s="50"/>
      <c r="V13" s="137">
        <v>1867</v>
      </c>
      <c r="W13" s="109">
        <v>1704</v>
      </c>
      <c r="X13" s="68">
        <f t="shared" si="4"/>
        <v>-163</v>
      </c>
      <c r="Z13" s="62">
        <f>RANK(P13,$P$4:$P$28,1)+COUNTIF($P$4:P13,P13)-1</f>
        <v>11</v>
      </c>
      <c r="AA13" s="65" t="str">
        <f>INDEX(C4:P28,MATCH(10,Z4:Z28,0),1)</f>
        <v>łańcucki</v>
      </c>
      <c r="AB13" s="56">
        <f>INDEX(C4:P28,MATCH(10,Z4:Z28,0),14)</f>
        <v>-153</v>
      </c>
      <c r="AC13" s="116"/>
      <c r="AD13" s="62">
        <f>RANK(T13,$T$4:$T$28,1)+COUNTIF($T$4:T13,T13)-1</f>
        <v>19</v>
      </c>
      <c r="AE13" s="65" t="str">
        <f>INDEX(C4:T28,MATCH(10,AD4:AD28,0),1)</f>
        <v>leżajski</v>
      </c>
      <c r="AF13" s="56">
        <f>INDEX(C4:T28,MATCH(10,AD4:AD28,0),18)</f>
        <v>-93</v>
      </c>
      <c r="AG13" s="79"/>
      <c r="AH13" s="120">
        <v>10</v>
      </c>
      <c r="AI13" s="121">
        <f t="shared" si="5"/>
        <v>-8</v>
      </c>
    </row>
    <row r="14" spans="2:35" x14ac:dyDescent="0.2">
      <c r="B14" s="128">
        <v>11</v>
      </c>
      <c r="C14" s="82" t="s">
        <v>10</v>
      </c>
      <c r="D14" s="157">
        <v>1912</v>
      </c>
      <c r="E14" s="158">
        <v>1922</v>
      </c>
      <c r="F14" s="104">
        <f t="shared" si="0"/>
        <v>10</v>
      </c>
      <c r="G14" s="73"/>
      <c r="H14" s="57">
        <v>549</v>
      </c>
      <c r="I14" s="56">
        <v>401</v>
      </c>
      <c r="J14" s="68">
        <f t="shared" si="1"/>
        <v>-148</v>
      </c>
      <c r="K14" s="76"/>
      <c r="L14" s="57">
        <v>201</v>
      </c>
      <c r="M14" s="56">
        <v>186</v>
      </c>
      <c r="N14" s="68">
        <f t="shared" si="2"/>
        <v>-15</v>
      </c>
      <c r="O14" s="76"/>
      <c r="P14" s="62">
        <f t="shared" si="6"/>
        <v>-153</v>
      </c>
      <c r="Q14" s="78"/>
      <c r="R14" s="137">
        <v>2629</v>
      </c>
      <c r="S14" s="149">
        <v>2547</v>
      </c>
      <c r="T14" s="56">
        <f t="shared" si="3"/>
        <v>-82</v>
      </c>
      <c r="U14" s="50"/>
      <c r="V14" s="137">
        <v>2547</v>
      </c>
      <c r="W14" s="109">
        <v>2519</v>
      </c>
      <c r="X14" s="68">
        <f t="shared" si="4"/>
        <v>-28</v>
      </c>
      <c r="Z14" s="62">
        <f>RANK(P14,$P$4:$P$28,1)+COUNTIF($P$4:P14,P14)-1</f>
        <v>10</v>
      </c>
      <c r="AA14" s="65" t="str">
        <f>INDEX(C4:P28,MATCH(11,Z4:Z28,0),1)</f>
        <v>lubaczowski</v>
      </c>
      <c r="AB14" s="56">
        <f>INDEX(C4:P28,MATCH(11,Z4:Z28,0),14)</f>
        <v>-150</v>
      </c>
      <c r="AC14" s="116"/>
      <c r="AD14" s="62">
        <f>RANK(T14,$T$4:$T$28,1)+COUNTIF($T$4:T14,T14)-1</f>
        <v>12</v>
      </c>
      <c r="AE14" s="65" t="str">
        <f>INDEX(C4:T28,MATCH(11,AD4:AD28,0),1)</f>
        <v>kolbuszowski</v>
      </c>
      <c r="AF14" s="56">
        <f>INDEX(C4:T28,MATCH(11,AD4:AD28,0),18)</f>
        <v>-83</v>
      </c>
      <c r="AG14" s="79"/>
      <c r="AH14" s="120">
        <v>11</v>
      </c>
      <c r="AI14" s="121">
        <f t="shared" si="5"/>
        <v>-2</v>
      </c>
    </row>
    <row r="15" spans="2:35" x14ac:dyDescent="0.2">
      <c r="B15" s="128">
        <v>12</v>
      </c>
      <c r="C15" s="82" t="s">
        <v>11</v>
      </c>
      <c r="D15" s="157">
        <v>2720</v>
      </c>
      <c r="E15" s="158">
        <v>2732</v>
      </c>
      <c r="F15" s="104">
        <f t="shared" si="0"/>
        <v>12</v>
      </c>
      <c r="G15" s="73"/>
      <c r="H15" s="57">
        <v>539</v>
      </c>
      <c r="I15" s="56">
        <v>580</v>
      </c>
      <c r="J15" s="68">
        <f t="shared" si="1"/>
        <v>41</v>
      </c>
      <c r="K15" s="76"/>
      <c r="L15" s="57">
        <v>323</v>
      </c>
      <c r="M15" s="56">
        <v>217</v>
      </c>
      <c r="N15" s="68">
        <f t="shared" si="2"/>
        <v>-106</v>
      </c>
      <c r="O15" s="76"/>
      <c r="P15" s="62">
        <f t="shared" si="6"/>
        <v>-53</v>
      </c>
      <c r="Q15" s="78"/>
      <c r="R15" s="137">
        <v>2517</v>
      </c>
      <c r="S15" s="149">
        <v>3017</v>
      </c>
      <c r="T15" s="56">
        <f t="shared" si="3"/>
        <v>500</v>
      </c>
      <c r="U15" s="50"/>
      <c r="V15" s="137">
        <v>3017</v>
      </c>
      <c r="W15" s="109">
        <v>3075</v>
      </c>
      <c r="X15" s="68">
        <f t="shared" si="4"/>
        <v>58</v>
      </c>
      <c r="Z15" s="62">
        <f>RANK(P15,$P$4:$P$28,1)+COUNTIF($P$4:P15,P15)-1</f>
        <v>19</v>
      </c>
      <c r="AA15" s="65" t="str">
        <f>INDEX(C4:P28,MATCH(12,Z4:Z28,0),1)</f>
        <v>ropczycko-sędziszowski</v>
      </c>
      <c r="AB15" s="56">
        <f>INDEX(C4:P28,MATCH(12,Z4:Z28,0),14)</f>
        <v>-146</v>
      </c>
      <c r="AC15" s="116"/>
      <c r="AD15" s="117">
        <f>RANK(T15,$T$4:$T$28,1)+COUNTIF($T$4:T15,T15)-1</f>
        <v>25</v>
      </c>
      <c r="AE15" s="65" t="str">
        <f>INDEX(C4:T28,MATCH(12,AD4:AD28,0),1)</f>
        <v>łańcucki</v>
      </c>
      <c r="AF15" s="56">
        <f>INDEX(C4:T28,MATCH(12,AD4:AD28,0),18)</f>
        <v>-82</v>
      </c>
      <c r="AG15" s="79"/>
      <c r="AH15" s="120">
        <v>12</v>
      </c>
      <c r="AI15" s="121">
        <f t="shared" si="5"/>
        <v>-6</v>
      </c>
    </row>
    <row r="16" spans="2:35" x14ac:dyDescent="0.2">
      <c r="B16" s="128">
        <v>13</v>
      </c>
      <c r="C16" s="82" t="s">
        <v>12</v>
      </c>
      <c r="D16" s="157">
        <v>1467</v>
      </c>
      <c r="E16" s="158">
        <v>1410</v>
      </c>
      <c r="F16" s="104">
        <f t="shared" si="0"/>
        <v>-57</v>
      </c>
      <c r="G16" s="73"/>
      <c r="H16" s="57">
        <v>620</v>
      </c>
      <c r="I16" s="56">
        <v>509</v>
      </c>
      <c r="J16" s="68">
        <f t="shared" si="1"/>
        <v>-111</v>
      </c>
      <c r="K16" s="76"/>
      <c r="L16" s="57">
        <v>297</v>
      </c>
      <c r="M16" s="56">
        <v>236</v>
      </c>
      <c r="N16" s="68">
        <f t="shared" si="2"/>
        <v>-61</v>
      </c>
      <c r="O16" s="76"/>
      <c r="P16" s="62">
        <f t="shared" si="6"/>
        <v>-229</v>
      </c>
      <c r="Q16" s="78"/>
      <c r="R16" s="137">
        <v>3116</v>
      </c>
      <c r="S16" s="149">
        <v>3043</v>
      </c>
      <c r="T16" s="56">
        <f t="shared" si="3"/>
        <v>-73</v>
      </c>
      <c r="U16" s="50"/>
      <c r="V16" s="137">
        <v>3043</v>
      </c>
      <c r="W16" s="109">
        <v>2929</v>
      </c>
      <c r="X16" s="68">
        <f t="shared" si="4"/>
        <v>-114</v>
      </c>
      <c r="Z16" s="62">
        <f>RANK(P16,$P$4:$P$28,1)+COUNTIF($P$4:P16,P16)-1</f>
        <v>5</v>
      </c>
      <c r="AA16" s="65" t="str">
        <f>INDEX(C4:P28,MATCH(13,Z4:Z28,0),1)</f>
        <v>stalowowolski</v>
      </c>
      <c r="AB16" s="56">
        <f>INDEX(C4:P28,MATCH(13,Z4:Z28,0),14)</f>
        <v>-120</v>
      </c>
      <c r="AC16" s="116"/>
      <c r="AD16" s="117">
        <f>RANK(T16,$T$4:$T$28,1)+COUNTIF($T$4:T16,T16)-1</f>
        <v>13</v>
      </c>
      <c r="AE16" s="65" t="str">
        <f>INDEX(C4:T28,MATCH(13,AD4:AD28,0),1)</f>
        <v>niżański</v>
      </c>
      <c r="AF16" s="56">
        <f>INDEX(C4:T28,MATCH(13,AD4:AD28,0),18)</f>
        <v>-73</v>
      </c>
      <c r="AG16" s="79"/>
      <c r="AH16" s="120">
        <v>13</v>
      </c>
      <c r="AI16" s="121">
        <f t="shared" si="5"/>
        <v>-8</v>
      </c>
    </row>
    <row r="17" spans="2:35" x14ac:dyDescent="0.2">
      <c r="B17" s="128">
        <v>14</v>
      </c>
      <c r="C17" s="82" t="s">
        <v>13</v>
      </c>
      <c r="D17" s="157">
        <v>1460</v>
      </c>
      <c r="E17" s="158">
        <v>1468</v>
      </c>
      <c r="F17" s="104">
        <f t="shared" si="0"/>
        <v>8</v>
      </c>
      <c r="G17" s="73"/>
      <c r="H17" s="57">
        <v>487</v>
      </c>
      <c r="I17" s="56">
        <v>498</v>
      </c>
      <c r="J17" s="68">
        <f t="shared" si="1"/>
        <v>11</v>
      </c>
      <c r="K17" s="76"/>
      <c r="L17" s="57">
        <v>102</v>
      </c>
      <c r="M17" s="56">
        <v>101</v>
      </c>
      <c r="N17" s="68">
        <f t="shared" si="2"/>
        <v>-1</v>
      </c>
      <c r="O17" s="76"/>
      <c r="P17" s="62">
        <f t="shared" si="6"/>
        <v>18</v>
      </c>
      <c r="Q17" s="78"/>
      <c r="R17" s="137">
        <v>3084</v>
      </c>
      <c r="S17" s="149">
        <v>2963</v>
      </c>
      <c r="T17" s="56">
        <f t="shared" si="3"/>
        <v>-121</v>
      </c>
      <c r="U17" s="50"/>
      <c r="V17" s="137">
        <v>2963</v>
      </c>
      <c r="W17" s="109">
        <v>2958</v>
      </c>
      <c r="X17" s="68">
        <f t="shared" si="4"/>
        <v>-5</v>
      </c>
      <c r="Z17" s="62">
        <f>RANK(P17,$P$4:$P$28,1)+COUNTIF($P$4:P17,P17)-1</f>
        <v>25</v>
      </c>
      <c r="AA17" s="65" t="str">
        <f>INDEX(C4:P28,MATCH(14,Z4:Z28,0),1)</f>
        <v>jasielski</v>
      </c>
      <c r="AB17" s="56">
        <f>INDEX(C4:P28,MATCH(14,Z4:Z28,0),14)</f>
        <v>-116</v>
      </c>
      <c r="AC17" s="116"/>
      <c r="AD17" s="117">
        <f>RANK(T17,$T$4:$T$28,1)+COUNTIF($T$4:T17,T17)-1</f>
        <v>9</v>
      </c>
      <c r="AE17" s="65" t="str">
        <f>INDEX(C4:T28,MATCH(14,AD4:AD28,0),1)</f>
        <v>tarnobrzeski</v>
      </c>
      <c r="AF17" s="56">
        <f>INDEX(C4:T28,MATCH(14,AD4:AD28,0),18)</f>
        <v>-33</v>
      </c>
      <c r="AG17" s="79"/>
      <c r="AH17" s="120">
        <v>14</v>
      </c>
      <c r="AI17" s="121">
        <f t="shared" si="5"/>
        <v>16</v>
      </c>
    </row>
    <row r="18" spans="2:35" x14ac:dyDescent="0.2">
      <c r="B18" s="128">
        <v>15</v>
      </c>
      <c r="C18" s="82" t="s">
        <v>14</v>
      </c>
      <c r="D18" s="157">
        <v>2207</v>
      </c>
      <c r="E18" s="158">
        <v>2221</v>
      </c>
      <c r="F18" s="104">
        <f t="shared" si="0"/>
        <v>14</v>
      </c>
      <c r="G18" s="73"/>
      <c r="H18" s="57">
        <v>805</v>
      </c>
      <c r="I18" s="56">
        <v>631</v>
      </c>
      <c r="J18" s="68">
        <f t="shared" si="1"/>
        <v>-174</v>
      </c>
      <c r="K18" s="76"/>
      <c r="L18" s="57">
        <v>496</v>
      </c>
      <c r="M18" s="56">
        <v>409</v>
      </c>
      <c r="N18" s="68">
        <f t="shared" si="2"/>
        <v>-87</v>
      </c>
      <c r="O18" s="76"/>
      <c r="P18" s="125">
        <f>F18+J18+N18</f>
        <v>-247</v>
      </c>
      <c r="Q18" s="78"/>
      <c r="R18" s="137">
        <v>3654</v>
      </c>
      <c r="S18" s="149">
        <v>3397</v>
      </c>
      <c r="T18" s="56">
        <f t="shared" si="3"/>
        <v>-257</v>
      </c>
      <c r="U18" s="50"/>
      <c r="V18" s="137">
        <v>3397</v>
      </c>
      <c r="W18" s="109">
        <v>3337</v>
      </c>
      <c r="X18" s="68">
        <f t="shared" si="4"/>
        <v>-60</v>
      </c>
      <c r="Z18" s="62">
        <f>RANK(P18,$P$4:$P$28,1)+COUNTIF($P$4:P18,P18)-1</f>
        <v>4</v>
      </c>
      <c r="AA18" s="65" t="str">
        <f>INDEX(C4:P28,MATCH(15,Z4:Z28,0),1)</f>
        <v>Tarnobrzeg</v>
      </c>
      <c r="AB18" s="56">
        <f>INDEX(C4:P28,MATCH(15,Z4:Z28,0),14)</f>
        <v>-97</v>
      </c>
      <c r="AC18" s="116"/>
      <c r="AD18" s="117">
        <f>RANK(T18,$T$4:$T$28,1)+COUNTIF($T$4:T18,T18)-1</f>
        <v>4</v>
      </c>
      <c r="AE18" s="65" t="str">
        <f>INDEX(C4:T28,MATCH(15,AD4:AD28,0),1)</f>
        <v>leski</v>
      </c>
      <c r="AF18" s="56">
        <f>INDEX(C4:T28,MATCH(15,AD4:AD28,0),18)</f>
        <v>-31</v>
      </c>
      <c r="AG18" s="79"/>
      <c r="AH18" s="120">
        <v>15</v>
      </c>
      <c r="AI18" s="121">
        <f t="shared" si="5"/>
        <v>0</v>
      </c>
    </row>
    <row r="19" spans="2:35" ht="12" customHeight="1" x14ac:dyDescent="0.2">
      <c r="B19" s="128">
        <v>16</v>
      </c>
      <c r="C19" s="82" t="s">
        <v>15</v>
      </c>
      <c r="D19" s="157">
        <v>1918</v>
      </c>
      <c r="E19" s="158">
        <v>1820</v>
      </c>
      <c r="F19" s="104">
        <f t="shared" si="0"/>
        <v>-98</v>
      </c>
      <c r="G19" s="73"/>
      <c r="H19" s="57">
        <v>501</v>
      </c>
      <c r="I19" s="56">
        <v>405</v>
      </c>
      <c r="J19" s="68">
        <f t="shared" si="1"/>
        <v>-96</v>
      </c>
      <c r="K19" s="76"/>
      <c r="L19" s="57">
        <v>219</v>
      </c>
      <c r="M19" s="56">
        <v>267</v>
      </c>
      <c r="N19" s="68">
        <f t="shared" si="2"/>
        <v>48</v>
      </c>
      <c r="O19" s="76"/>
      <c r="P19" s="125">
        <f t="shared" si="6"/>
        <v>-146</v>
      </c>
      <c r="Q19" s="78"/>
      <c r="R19" s="137">
        <v>2769</v>
      </c>
      <c r="S19" s="149">
        <v>2551</v>
      </c>
      <c r="T19" s="56">
        <f t="shared" si="3"/>
        <v>-218</v>
      </c>
      <c r="U19" s="50"/>
      <c r="V19" s="137">
        <v>2551</v>
      </c>
      <c r="W19" s="109">
        <v>2673</v>
      </c>
      <c r="X19" s="68">
        <f t="shared" si="4"/>
        <v>122</v>
      </c>
      <c r="Z19" s="62">
        <f>RANK(P19,$P$4:$P$28,1)+COUNTIF($P$4:P19,P19)-1</f>
        <v>12</v>
      </c>
      <c r="AA19" s="65" t="str">
        <f>INDEX(C4:P28,MATCH(16,Z4:Z28,0),1)</f>
        <v>dębicki</v>
      </c>
      <c r="AB19" s="56">
        <f>INDEX(C4:P28,MATCH(16,Z4:Z28,0),14)</f>
        <v>-90</v>
      </c>
      <c r="AC19" s="116"/>
      <c r="AD19" s="117">
        <f>RANK(T19,$T$4:$T$28,1)+COUNTIF($T$4:T19,T19)-1</f>
        <v>5</v>
      </c>
      <c r="AE19" s="65" t="str">
        <f>INDEX(C4:T28,MATCH(16,AD4:AD28,0),1)</f>
        <v>bieszczadzki</v>
      </c>
      <c r="AF19" s="56">
        <f>INDEX(C4:T28,MATCH(16,AD4:AD28,0),18)</f>
        <v>-27</v>
      </c>
      <c r="AG19" s="79"/>
      <c r="AH19" s="120">
        <v>16</v>
      </c>
      <c r="AI19" s="121">
        <f t="shared" si="5"/>
        <v>7</v>
      </c>
    </row>
    <row r="20" spans="2:35" x14ac:dyDescent="0.2">
      <c r="B20" s="128">
        <v>17</v>
      </c>
      <c r="C20" s="82" t="s">
        <v>16</v>
      </c>
      <c r="D20" s="157">
        <v>3091</v>
      </c>
      <c r="E20" s="158">
        <v>3021</v>
      </c>
      <c r="F20" s="104">
        <f t="shared" si="0"/>
        <v>-70</v>
      </c>
      <c r="G20" s="73"/>
      <c r="H20" s="57">
        <v>558</v>
      </c>
      <c r="I20" s="56">
        <v>570</v>
      </c>
      <c r="J20" s="68">
        <f t="shared" si="1"/>
        <v>12</v>
      </c>
      <c r="K20" s="76"/>
      <c r="L20" s="57">
        <v>208</v>
      </c>
      <c r="M20" s="56">
        <v>244</v>
      </c>
      <c r="N20" s="68">
        <f t="shared" si="2"/>
        <v>36</v>
      </c>
      <c r="O20" s="76"/>
      <c r="P20" s="62">
        <f t="shared" si="6"/>
        <v>-22</v>
      </c>
      <c r="Q20" s="78"/>
      <c r="R20" s="137">
        <v>4962</v>
      </c>
      <c r="S20" s="149">
        <v>4670</v>
      </c>
      <c r="T20" s="56">
        <f t="shared" si="3"/>
        <v>-292</v>
      </c>
      <c r="U20" s="50"/>
      <c r="V20" s="137">
        <v>4670</v>
      </c>
      <c r="W20" s="109">
        <v>4540</v>
      </c>
      <c r="X20" s="68">
        <f t="shared" si="4"/>
        <v>-130</v>
      </c>
      <c r="Z20" s="62">
        <f>RANK(P20,$P$4:$P$28,1)+COUNTIF($P$4:P20,P20)-1</f>
        <v>21</v>
      </c>
      <c r="AA20" s="65" t="str">
        <f>INDEX(C4:P28,MATCH(17,Z4:Z28,0),1)</f>
        <v>brzozowski</v>
      </c>
      <c r="AB20" s="56">
        <f>INDEX(C4:P28,MATCH(17,Z4:Z28,0),14)</f>
        <v>-77</v>
      </c>
      <c r="AC20" s="116"/>
      <c r="AD20" s="117">
        <f>RANK(T20,$T$4:$T$28,1)+COUNTIF($T$4:T20,T20)-1</f>
        <v>3</v>
      </c>
      <c r="AE20" s="65" t="str">
        <f>INDEX(C4:T28,MATCH(17,AD4:AD28,0),1)</f>
        <v>dębicki</v>
      </c>
      <c r="AF20" s="56">
        <f>INDEX(C4:T28,MATCH(17,AD4:AD28,0),18)</f>
        <v>-2</v>
      </c>
      <c r="AG20" s="79"/>
      <c r="AH20" s="120">
        <v>17</v>
      </c>
      <c r="AI20" s="121">
        <f t="shared" si="5"/>
        <v>18</v>
      </c>
    </row>
    <row r="21" spans="2:35" x14ac:dyDescent="0.2">
      <c r="B21" s="128">
        <v>18</v>
      </c>
      <c r="C21" s="82" t="s">
        <v>17</v>
      </c>
      <c r="D21" s="157">
        <v>1683</v>
      </c>
      <c r="E21" s="158">
        <v>1739</v>
      </c>
      <c r="F21" s="104">
        <f t="shared" si="0"/>
        <v>56</v>
      </c>
      <c r="G21" s="73"/>
      <c r="H21" s="57">
        <v>485</v>
      </c>
      <c r="I21" s="56">
        <v>427</v>
      </c>
      <c r="J21" s="68">
        <f t="shared" si="1"/>
        <v>-58</v>
      </c>
      <c r="K21" s="76"/>
      <c r="L21" s="57">
        <v>173</v>
      </c>
      <c r="M21" s="56">
        <v>155</v>
      </c>
      <c r="N21" s="68">
        <f t="shared" si="2"/>
        <v>-18</v>
      </c>
      <c r="O21" s="76"/>
      <c r="P21" s="62">
        <f t="shared" si="6"/>
        <v>-20</v>
      </c>
      <c r="Q21" s="78"/>
      <c r="R21" s="137">
        <v>2644</v>
      </c>
      <c r="S21" s="149">
        <v>2737</v>
      </c>
      <c r="T21" s="56">
        <f t="shared" si="3"/>
        <v>93</v>
      </c>
      <c r="U21" s="50"/>
      <c r="V21" s="137">
        <v>2737</v>
      </c>
      <c r="W21" s="109">
        <v>2881</v>
      </c>
      <c r="X21" s="68">
        <f t="shared" si="4"/>
        <v>144</v>
      </c>
      <c r="Z21" s="62">
        <f>RANK(P21,$P$4:$P$28,1)+COUNTIF($P$4:P21,P21)-1</f>
        <v>22</v>
      </c>
      <c r="AA21" s="65" t="str">
        <f>INDEX(C4:P28,MATCH(18,Z4:Z28,0),1)</f>
        <v>leski</v>
      </c>
      <c r="AB21" s="56">
        <f>INDEX(C4:P28,MATCH(18,Z4:Z28,0),14)</f>
        <v>-58</v>
      </c>
      <c r="AC21" s="116"/>
      <c r="AD21" s="117">
        <f>RANK(T21,$T$4:$T$28,1)+COUNTIF($T$4:T21,T21)-1</f>
        <v>21</v>
      </c>
      <c r="AE21" s="65" t="str">
        <f>INDEX(C4:T28,MATCH(18,AD4:AD28,0),1)</f>
        <v>Tarnobrzeg</v>
      </c>
      <c r="AF21" s="56">
        <f>INDEX(C4:T28,MATCH(18,AD4:AD28,0),18)</f>
        <v>0</v>
      </c>
      <c r="AG21" s="79"/>
      <c r="AH21" s="120">
        <v>18</v>
      </c>
      <c r="AI21" s="121">
        <f t="shared" si="5"/>
        <v>1</v>
      </c>
    </row>
    <row r="22" spans="2:35" x14ac:dyDescent="0.2">
      <c r="B22" s="128">
        <v>19</v>
      </c>
      <c r="C22" s="82" t="s">
        <v>18</v>
      </c>
      <c r="D22" s="157">
        <v>1815</v>
      </c>
      <c r="E22" s="158">
        <v>1657</v>
      </c>
      <c r="F22" s="104">
        <f t="shared" si="0"/>
        <v>-158</v>
      </c>
      <c r="G22" s="73"/>
      <c r="H22" s="57">
        <v>334</v>
      </c>
      <c r="I22" s="56">
        <v>351</v>
      </c>
      <c r="J22" s="68">
        <f t="shared" si="1"/>
        <v>17</v>
      </c>
      <c r="K22" s="76"/>
      <c r="L22" s="57">
        <v>178</v>
      </c>
      <c r="M22" s="56">
        <v>199</v>
      </c>
      <c r="N22" s="68">
        <f t="shared" si="2"/>
        <v>21</v>
      </c>
      <c r="O22" s="76"/>
      <c r="P22" s="62">
        <f t="shared" si="6"/>
        <v>-120</v>
      </c>
      <c r="Q22" s="78"/>
      <c r="R22" s="137">
        <v>1841</v>
      </c>
      <c r="S22" s="149">
        <v>1943</v>
      </c>
      <c r="T22" s="56">
        <f t="shared" si="3"/>
        <v>102</v>
      </c>
      <c r="U22" s="50"/>
      <c r="V22" s="137">
        <v>1943</v>
      </c>
      <c r="W22" s="109">
        <v>2098</v>
      </c>
      <c r="X22" s="68">
        <f t="shared" si="4"/>
        <v>155</v>
      </c>
      <c r="Z22" s="62">
        <f>RANK(P22,$P$4:$P$28,1)+COUNTIF($P$4:P22,P22)-1</f>
        <v>13</v>
      </c>
      <c r="AA22" s="65" t="str">
        <f>INDEX(C4:P28,MATCH(19,Z4:Z28,0),1)</f>
        <v>mielecki</v>
      </c>
      <c r="AB22" s="56">
        <f>INDEX(C4:P28,MATCH(19,Z4:Z28,0),14)</f>
        <v>-53</v>
      </c>
      <c r="AC22" s="116"/>
      <c r="AD22" s="117">
        <f>RANK(T22,$T$4:$T$28,1)+COUNTIF($T$4:T22,T22)-1</f>
        <v>22</v>
      </c>
      <c r="AE22" s="65" t="str">
        <f>INDEX(C4:T28,MATCH(19,AD4:AD28,0),1)</f>
        <v>lubaczowski</v>
      </c>
      <c r="AF22" s="56">
        <f>INDEX(C4:T28,MATCH(19,AD4:AD28,0),18)</f>
        <v>36</v>
      </c>
      <c r="AG22" s="79"/>
      <c r="AH22" s="120">
        <v>19</v>
      </c>
      <c r="AI22" s="121">
        <f t="shared" si="5"/>
        <v>-9</v>
      </c>
    </row>
    <row r="23" spans="2:35" x14ac:dyDescent="0.2">
      <c r="B23" s="128">
        <v>20</v>
      </c>
      <c r="C23" s="82" t="s">
        <v>19</v>
      </c>
      <c r="D23" s="157">
        <v>1989</v>
      </c>
      <c r="E23" s="158">
        <v>1940</v>
      </c>
      <c r="F23" s="104">
        <f t="shared" si="0"/>
        <v>-49</v>
      </c>
      <c r="G23" s="73"/>
      <c r="H23" s="57">
        <v>594</v>
      </c>
      <c r="I23" s="56">
        <v>439</v>
      </c>
      <c r="J23" s="68">
        <f t="shared" si="1"/>
        <v>-155</v>
      </c>
      <c r="K23" s="76"/>
      <c r="L23" s="57">
        <v>585</v>
      </c>
      <c r="M23" s="56">
        <v>261</v>
      </c>
      <c r="N23" s="68">
        <f t="shared" si="2"/>
        <v>-324</v>
      </c>
      <c r="O23" s="76"/>
      <c r="P23" s="62">
        <f t="shared" si="6"/>
        <v>-528</v>
      </c>
      <c r="Q23" s="78"/>
      <c r="R23" s="137">
        <v>3266</v>
      </c>
      <c r="S23" s="149">
        <v>3125</v>
      </c>
      <c r="T23" s="56">
        <f t="shared" si="3"/>
        <v>-141</v>
      </c>
      <c r="U23" s="50"/>
      <c r="V23" s="137">
        <v>3125</v>
      </c>
      <c r="W23" s="109">
        <v>3113</v>
      </c>
      <c r="X23" s="68">
        <f t="shared" si="4"/>
        <v>-12</v>
      </c>
      <c r="Z23" s="62">
        <f>RANK(P23,$P$4:$P$28,1)+COUNTIF($P$4:P23,P23)-1</f>
        <v>2</v>
      </c>
      <c r="AA23" s="65" t="str">
        <f>INDEX(C4:P28,MATCH(20,Z4:Z28,0),1)</f>
        <v>Przemyśl</v>
      </c>
      <c r="AB23" s="56">
        <f>INDEX(C4:P28,MATCH(20,Z4:Z28,0),14)</f>
        <v>-34</v>
      </c>
      <c r="AC23" s="116"/>
      <c r="AD23" s="117">
        <f>RANK(T23,$T$4:$T$28,1)+COUNTIF($T$4:T23,T23)-1</f>
        <v>7</v>
      </c>
      <c r="AE23" s="65" t="str">
        <f>INDEX(C4:T28,MATCH(20,AD4:AD28,0),1)</f>
        <v>Krosno</v>
      </c>
      <c r="AF23" s="56">
        <f>INDEX(C4:T28,MATCH(20,AD4:AD28,0),18)</f>
        <v>70</v>
      </c>
      <c r="AG23" s="79"/>
      <c r="AH23" s="120">
        <v>20</v>
      </c>
      <c r="AI23" s="121">
        <f t="shared" si="5"/>
        <v>-5</v>
      </c>
    </row>
    <row r="24" spans="2:35" ht="12" thickBot="1" x14ac:dyDescent="0.25">
      <c r="B24" s="128">
        <v>21</v>
      </c>
      <c r="C24" s="83" t="s">
        <v>56</v>
      </c>
      <c r="D24" s="159">
        <v>1028</v>
      </c>
      <c r="E24" s="160">
        <v>923</v>
      </c>
      <c r="F24" s="105">
        <f t="shared" si="0"/>
        <v>-105</v>
      </c>
      <c r="G24" s="73"/>
      <c r="H24" s="60">
        <v>349</v>
      </c>
      <c r="I24" s="58">
        <v>331</v>
      </c>
      <c r="J24" s="70">
        <f t="shared" si="1"/>
        <v>-18</v>
      </c>
      <c r="K24" s="76"/>
      <c r="L24" s="60">
        <v>144</v>
      </c>
      <c r="M24" s="58">
        <v>84</v>
      </c>
      <c r="N24" s="70">
        <f t="shared" si="2"/>
        <v>-60</v>
      </c>
      <c r="O24" s="76"/>
      <c r="P24" s="126">
        <f t="shared" si="6"/>
        <v>-183</v>
      </c>
      <c r="Q24" s="78"/>
      <c r="R24" s="138">
        <v>1284</v>
      </c>
      <c r="S24" s="150">
        <v>1251</v>
      </c>
      <c r="T24" s="59">
        <f t="shared" si="3"/>
        <v>-33</v>
      </c>
      <c r="U24" s="50"/>
      <c r="V24" s="138">
        <v>1251</v>
      </c>
      <c r="W24" s="111">
        <v>1243</v>
      </c>
      <c r="X24" s="69">
        <f t="shared" si="4"/>
        <v>-8</v>
      </c>
      <c r="Z24" s="114">
        <f>RANK(P24,$P$4:$P$28,1)+COUNTIF($P$4:P24,P24)-1</f>
        <v>6</v>
      </c>
      <c r="AA24" s="87" t="str">
        <f>INDEX(C4:P28,MATCH(21,Z4:Z28,0),1)</f>
        <v>rzeszowski</v>
      </c>
      <c r="AB24" s="59">
        <f>INDEX(C4:P28,MATCH(21,Z4:Z28,0),14)</f>
        <v>-22</v>
      </c>
      <c r="AC24" s="116"/>
      <c r="AD24" s="118">
        <f>RANK(T24,$T$4:$T$28,1)+COUNTIF($T$4:T24,T24)-1</f>
        <v>14</v>
      </c>
      <c r="AE24" s="87" t="str">
        <f>INDEX(C4:T28,MATCH(21,AD4:AD28,0),1)</f>
        <v>sanocki</v>
      </c>
      <c r="AF24" s="59">
        <f>INDEX(C4:T28,MATCH(21,AD4:AD28,0),18)</f>
        <v>93</v>
      </c>
      <c r="AG24" s="79"/>
      <c r="AH24" s="120">
        <v>21</v>
      </c>
      <c r="AI24" s="121">
        <f t="shared" si="5"/>
        <v>-8</v>
      </c>
    </row>
    <row r="25" spans="2:35" x14ac:dyDescent="0.2">
      <c r="B25" s="128">
        <v>22</v>
      </c>
      <c r="C25" s="84" t="s">
        <v>21</v>
      </c>
      <c r="D25" s="157">
        <v>617</v>
      </c>
      <c r="E25" s="161">
        <v>644</v>
      </c>
      <c r="F25" s="106">
        <f t="shared" si="0"/>
        <v>27</v>
      </c>
      <c r="G25" s="74"/>
      <c r="H25" s="57">
        <v>138</v>
      </c>
      <c r="I25" s="56">
        <v>133</v>
      </c>
      <c r="J25" s="68">
        <f t="shared" si="1"/>
        <v>-5</v>
      </c>
      <c r="K25" s="76"/>
      <c r="L25" s="57">
        <v>50</v>
      </c>
      <c r="M25" s="56">
        <v>41</v>
      </c>
      <c r="N25" s="68">
        <f t="shared" si="2"/>
        <v>-9</v>
      </c>
      <c r="O25" s="76"/>
      <c r="P25" s="62">
        <f t="shared" si="6"/>
        <v>13</v>
      </c>
      <c r="Q25" s="78"/>
      <c r="R25" s="137">
        <v>720</v>
      </c>
      <c r="S25" s="56">
        <v>790</v>
      </c>
      <c r="T25" s="54">
        <f t="shared" si="3"/>
        <v>70</v>
      </c>
      <c r="U25" s="50"/>
      <c r="V25" s="137">
        <v>790</v>
      </c>
      <c r="W25" s="109">
        <v>814</v>
      </c>
      <c r="X25" s="108">
        <f t="shared" si="4"/>
        <v>24</v>
      </c>
      <c r="Z25" s="61">
        <f>RANK(P25,$P$4:$P$28,1)+COUNTIF($P$4:P25,P25)-1</f>
        <v>24</v>
      </c>
      <c r="AA25" s="64" t="str">
        <f>INDEX(C4:P28,MATCH(22,Z4:Z28,0),1)</f>
        <v>sanocki</v>
      </c>
      <c r="AB25" s="54">
        <f>INDEX(C4:P28,MATCH(22,Z4:Z28,0),14)</f>
        <v>-20</v>
      </c>
      <c r="AC25" s="116"/>
      <c r="AD25" s="61">
        <f>RANK(T25,$T$4:$T$28,1)+COUNTIF($T$4:T25,T25)-1</f>
        <v>20</v>
      </c>
      <c r="AE25" s="64" t="str">
        <f>INDEX(C4:T28,MATCH(22,AD4:AD28,0),1)</f>
        <v>stalowowolski</v>
      </c>
      <c r="AF25" s="54">
        <f>INDEX(C4:T28,MATCH(22,AD4:AD28,0),18)</f>
        <v>102</v>
      </c>
      <c r="AG25" s="79"/>
      <c r="AH25" s="120">
        <v>22</v>
      </c>
      <c r="AI25" s="121">
        <f t="shared" si="5"/>
        <v>4</v>
      </c>
    </row>
    <row r="26" spans="2:35" x14ac:dyDescent="0.2">
      <c r="B26" s="128">
        <v>23</v>
      </c>
      <c r="C26" s="84" t="s">
        <v>22</v>
      </c>
      <c r="D26" s="157">
        <v>1073</v>
      </c>
      <c r="E26" s="161">
        <v>1015</v>
      </c>
      <c r="F26" s="106">
        <f t="shared" si="0"/>
        <v>-58</v>
      </c>
      <c r="G26" s="74"/>
      <c r="H26" s="57">
        <v>343</v>
      </c>
      <c r="I26" s="56">
        <v>367</v>
      </c>
      <c r="J26" s="68">
        <f t="shared" si="1"/>
        <v>24</v>
      </c>
      <c r="K26" s="76"/>
      <c r="L26" s="57">
        <v>66</v>
      </c>
      <c r="M26" s="56">
        <v>66</v>
      </c>
      <c r="N26" s="68">
        <f t="shared" si="2"/>
        <v>0</v>
      </c>
      <c r="O26" s="76"/>
      <c r="P26" s="62">
        <f t="shared" si="6"/>
        <v>-34</v>
      </c>
      <c r="Q26" s="78"/>
      <c r="R26" s="137">
        <v>2487</v>
      </c>
      <c r="S26" s="149">
        <v>2346</v>
      </c>
      <c r="T26" s="56">
        <f t="shared" si="3"/>
        <v>-141</v>
      </c>
      <c r="U26" s="50"/>
      <c r="V26" s="137">
        <v>2346</v>
      </c>
      <c r="W26" s="109">
        <v>2338</v>
      </c>
      <c r="X26" s="68">
        <f t="shared" si="4"/>
        <v>-8</v>
      </c>
      <c r="Z26" s="62">
        <f>RANK(P26,$P$4:$P$28,1)+COUNTIF($P$4:P26,P26)-1</f>
        <v>20</v>
      </c>
      <c r="AA26" s="65" t="str">
        <f>INDEX(C4:P28,MATCH(23,Z4:Z28,0),1)</f>
        <v>krośnieński</v>
      </c>
      <c r="AB26" s="56">
        <f>INDEX(C4:P28,MATCH(23,Z4:Z28,0),14)</f>
        <v>10</v>
      </c>
      <c r="AC26" s="116"/>
      <c r="AD26" s="117">
        <f>RANK(T26,$T$4:$T$28,1)+COUNTIF($T$4:T26,T26)-1</f>
        <v>8</v>
      </c>
      <c r="AE26" s="65" t="str">
        <f>INDEX(C4:T28,MATCH(23,AD4:AD28,0),1)</f>
        <v>jasielski</v>
      </c>
      <c r="AF26" s="56">
        <f>INDEX(C4:T28,MATCH(23,AD4:AD28,0),18)</f>
        <v>181</v>
      </c>
      <c r="AG26" s="79"/>
      <c r="AH26" s="120">
        <v>23</v>
      </c>
      <c r="AI26" s="121">
        <f t="shared" si="5"/>
        <v>12</v>
      </c>
    </row>
    <row r="27" spans="2:35" x14ac:dyDescent="0.2">
      <c r="B27" s="128">
        <v>24</v>
      </c>
      <c r="C27" s="84" t="s">
        <v>23</v>
      </c>
      <c r="D27" s="157">
        <v>3547</v>
      </c>
      <c r="E27" s="161">
        <v>3402</v>
      </c>
      <c r="F27" s="106">
        <f t="shared" si="0"/>
        <v>-145</v>
      </c>
      <c r="G27" s="74"/>
      <c r="H27" s="57">
        <v>566</v>
      </c>
      <c r="I27" s="56">
        <v>571</v>
      </c>
      <c r="J27" s="68">
        <f t="shared" si="1"/>
        <v>5</v>
      </c>
      <c r="K27" s="76"/>
      <c r="L27" s="57">
        <v>267</v>
      </c>
      <c r="M27" s="56">
        <v>244</v>
      </c>
      <c r="N27" s="68">
        <f t="shared" si="2"/>
        <v>-23</v>
      </c>
      <c r="O27" s="76"/>
      <c r="P27" s="62">
        <f t="shared" si="6"/>
        <v>-163</v>
      </c>
      <c r="Q27" s="78"/>
      <c r="R27" s="137">
        <v>5452</v>
      </c>
      <c r="S27" s="149">
        <v>5033</v>
      </c>
      <c r="T27" s="56">
        <f t="shared" si="3"/>
        <v>-419</v>
      </c>
      <c r="U27" s="50"/>
      <c r="V27" s="137">
        <v>5033</v>
      </c>
      <c r="W27" s="109">
        <v>4957</v>
      </c>
      <c r="X27" s="68">
        <f t="shared" si="4"/>
        <v>-76</v>
      </c>
      <c r="Z27" s="62">
        <f>RANK(P27,$P$4:$P$28,1)+COUNTIF($P$4:P27,P27)-1</f>
        <v>9</v>
      </c>
      <c r="AA27" s="65" t="str">
        <f>INDEX(C4:P28,MATCH(24,Z4:Z28,0),1)</f>
        <v>Krosno</v>
      </c>
      <c r="AB27" s="56">
        <f>INDEX(C4:P28,MATCH(24,Z4:Z28,0),14)</f>
        <v>13</v>
      </c>
      <c r="AC27" s="116"/>
      <c r="AD27" s="117">
        <f>RANK(T27,$T$4:$T$28,1)+COUNTIF($T$4:T27,T27)-1</f>
        <v>1</v>
      </c>
      <c r="AE27" s="65" t="str">
        <f>INDEX(C4:T28,MATCH(24,AD4:AD28,0),1)</f>
        <v>krośnieński</v>
      </c>
      <c r="AF27" s="56">
        <f>INDEX(C4:T28,MATCH(24,AD4:AD28,0),18)</f>
        <v>203</v>
      </c>
      <c r="AG27" s="79"/>
      <c r="AH27" s="120">
        <v>24</v>
      </c>
      <c r="AI27" s="121">
        <f t="shared" si="5"/>
        <v>8</v>
      </c>
    </row>
    <row r="28" spans="2:35" ht="12" thickBot="1" x14ac:dyDescent="0.25">
      <c r="B28" s="128">
        <v>25</v>
      </c>
      <c r="C28" s="85" t="s">
        <v>24</v>
      </c>
      <c r="D28" s="159">
        <v>872</v>
      </c>
      <c r="E28" s="162">
        <v>862</v>
      </c>
      <c r="F28" s="107">
        <f t="shared" si="0"/>
        <v>-10</v>
      </c>
      <c r="G28" s="74"/>
      <c r="H28" s="60">
        <v>220</v>
      </c>
      <c r="I28" s="58">
        <v>188</v>
      </c>
      <c r="J28" s="70">
        <f t="shared" si="1"/>
        <v>-32</v>
      </c>
      <c r="K28" s="76"/>
      <c r="L28" s="60">
        <v>169</v>
      </c>
      <c r="M28" s="58">
        <v>114</v>
      </c>
      <c r="N28" s="70">
        <f t="shared" si="2"/>
        <v>-55</v>
      </c>
      <c r="O28" s="76"/>
      <c r="P28" s="86">
        <f t="shared" si="6"/>
        <v>-97</v>
      </c>
      <c r="Q28" s="78"/>
      <c r="R28" s="138">
        <v>1065</v>
      </c>
      <c r="S28" s="150">
        <v>1065</v>
      </c>
      <c r="T28" s="58">
        <f t="shared" si="3"/>
        <v>0</v>
      </c>
      <c r="U28" s="50"/>
      <c r="V28" s="138">
        <v>1065</v>
      </c>
      <c r="W28" s="111">
        <v>999</v>
      </c>
      <c r="X28" s="70">
        <f t="shared" si="4"/>
        <v>-66</v>
      </c>
      <c r="Z28" s="86">
        <f>RANK(P28,$P$4:$P$28,1)+COUNTIF($P$4:P28,P28)-1</f>
        <v>15</v>
      </c>
      <c r="AA28" s="66" t="str">
        <f>INDEX(C4:P28,MATCH(25,Z4:Z28,0),1)</f>
        <v>przemyski</v>
      </c>
      <c r="AB28" s="58">
        <f>INDEX(C4:P28,MATCH(25,Z4:Z28,0),14)</f>
        <v>18</v>
      </c>
      <c r="AC28" s="116"/>
      <c r="AD28" s="119">
        <f>RANK(T28,$T$4:$T$28,1)+COUNTIF($T$4:T28,T28)-1</f>
        <v>18</v>
      </c>
      <c r="AE28" s="66" t="str">
        <f>INDEX(C4:T28,MATCH(25,AD4:AD28,0),1)</f>
        <v>mielecki</v>
      </c>
      <c r="AF28" s="58">
        <f>INDEX(C4:T28,MATCH(25,AD4:AD28,0),18)</f>
        <v>500</v>
      </c>
      <c r="AG28" s="79"/>
      <c r="AH28" s="120">
        <v>25</v>
      </c>
      <c r="AI28" s="121">
        <f t="shared" si="5"/>
        <v>-3</v>
      </c>
    </row>
    <row r="29" spans="2:35" ht="12" thickBot="1" x14ac:dyDescent="0.25">
      <c r="C29" s="88" t="s">
        <v>57</v>
      </c>
      <c r="D29" s="163">
        <f>SUM(D4:D28)</f>
        <v>44006</v>
      </c>
      <c r="E29" s="164">
        <f>SUM(E4:E28)</f>
        <v>42596</v>
      </c>
      <c r="F29" s="93">
        <f t="shared" ref="F29:R29" si="7">SUM(F4:F28)</f>
        <v>-1410</v>
      </c>
      <c r="G29" s="76"/>
      <c r="H29" s="90">
        <f t="shared" si="7"/>
        <v>11688</v>
      </c>
      <c r="I29" s="89">
        <f t="shared" si="7"/>
        <v>10331</v>
      </c>
      <c r="J29" s="93">
        <f t="shared" si="7"/>
        <v>-1357</v>
      </c>
      <c r="K29" s="76"/>
      <c r="L29" s="90">
        <f t="shared" si="7"/>
        <v>6047</v>
      </c>
      <c r="M29" s="89">
        <f t="shared" si="7"/>
        <v>5110</v>
      </c>
      <c r="N29" s="93">
        <f t="shared" si="7"/>
        <v>-937</v>
      </c>
      <c r="O29" s="76"/>
      <c r="P29" s="91">
        <f t="shared" si="7"/>
        <v>-3704</v>
      </c>
      <c r="Q29" s="79"/>
      <c r="R29" s="139">
        <f t="shared" si="7"/>
        <v>69046</v>
      </c>
      <c r="S29" s="89">
        <f>SUM(S4:S28)</f>
        <v>67653</v>
      </c>
      <c r="T29" s="92">
        <f>SUM(T4:T28)</f>
        <v>-1393</v>
      </c>
      <c r="U29" s="50"/>
      <c r="V29" s="139">
        <f>SUM(V4:V28)</f>
        <v>67653</v>
      </c>
      <c r="W29" s="112">
        <f>SUM(W4:W28)</f>
        <v>67336</v>
      </c>
      <c r="X29" s="112">
        <f>SUM(W29-V29)</f>
        <v>-317</v>
      </c>
      <c r="Z29" s="113"/>
      <c r="AA29" s="113"/>
      <c r="AB29" s="113"/>
      <c r="AC29" s="79"/>
      <c r="AD29" s="113"/>
      <c r="AE29" s="113"/>
      <c r="AF29" s="113"/>
      <c r="AG29" s="79"/>
      <c r="AH29" s="79"/>
      <c r="AI29" s="71"/>
    </row>
    <row r="30" spans="2:35" x14ac:dyDescent="0.2">
      <c r="Q30" s="80"/>
    </row>
  </sheetData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1bezr.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2024-08-27T10:29:18Z</cp:lastPrinted>
  <dcterms:created xsi:type="dcterms:W3CDTF">2016-08-02T05:46:03Z</dcterms:created>
  <dcterms:modified xsi:type="dcterms:W3CDTF">2025-01-21T08:02:08Z</dcterms:modified>
</cp:coreProperties>
</file>